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firstSheet="18" activeTab="26"/>
  </bookViews>
  <sheets>
    <sheet name="Master" sheetId="1" r:id="rId1"/>
    <sheet name="(1) Prapatra kh" sheetId="6" r:id="rId2"/>
    <sheet name="Formet 8" sheetId="4" r:id="rId3"/>
    <sheet name="Formet 9" sheetId="5" r:id="rId4"/>
    <sheet name="(1) Formet 10" sheetId="2" r:id="rId5"/>
    <sheet name="Summary" sheetId="3" r:id="rId6"/>
    <sheet name="Namankan" sheetId="7" r:id="rId7"/>
    <sheet name="01 Salary" sheetId="8" r:id="rId8"/>
    <sheet name="Format 1A" sheetId="9" r:id="rId9"/>
    <sheet name="Format 1B" sheetId="11" r:id="rId10"/>
    <sheet name="Format 1C" sheetId="12" r:id="rId11"/>
    <sheet name="Pending TA-Med List" sheetId="10" r:id="rId12"/>
    <sheet name="Scholership" sheetId="13" r:id="rId13"/>
    <sheet name="PL Encash" sheetId="16" r:id="rId14"/>
    <sheet name="DA AREAR" sheetId="14" r:id="rId15"/>
    <sheet name="Liveries" sheetId="15" r:id="rId16"/>
    <sheet name="Fix Pay" sheetId="17" r:id="rId17"/>
    <sheet name="Sanvida" sheetId="18" r:id="rId18"/>
    <sheet name="Income" sheetId="19" r:id="rId19"/>
    <sheet name="forwarding letter" sheetId="20" r:id="rId20"/>
    <sheet name="Vardi" sheetId="21" r:id="rId21"/>
    <sheet name="7th pay fix. arr." sheetId="22" r:id="rId22"/>
    <sheet name="vidhyarthimitra" sheetId="23" r:id="rId23"/>
    <sheet name="GA2" sheetId="24" r:id="rId24"/>
    <sheet name="GA3" sheetId="25" r:id="rId25"/>
    <sheet name="Sheet1" sheetId="26" r:id="rId26"/>
    <sheet name="Sheet2" sheetId="27" r:id="rId27"/>
  </sheets>
  <externalReferences>
    <externalReference r:id="rId28"/>
    <externalReference r:id="rId29"/>
  </externalReferences>
  <definedNames>
    <definedName name="_xlnm.Print_Area" localSheetId="4">'(1) Formet 10'!$A$1:$O$20</definedName>
    <definedName name="_xlnm.Print_Area" localSheetId="1">'(1) Prapatra kh'!$A$1:$I$21</definedName>
    <definedName name="_xlnm.Print_Area" localSheetId="7">'01 Salary'!$A$1:$H$17</definedName>
    <definedName name="_xlnm.Print_Area" localSheetId="21">'7th pay fix. arr.'!$A$1:$I$45</definedName>
    <definedName name="_xlnm.Print_Area" localSheetId="16">'Fix Pay'!$A$1:$K$19</definedName>
    <definedName name="_xlnm.Print_Area" localSheetId="8">'Format 1A'!$A$1:$O$37</definedName>
    <definedName name="_xlnm.Print_Area" localSheetId="10">'Format 1C'!$A$1:$G$34</definedName>
    <definedName name="_xlnm.Print_Area" localSheetId="2">'Formet 8'!$A$1:$N$127</definedName>
    <definedName name="_xlnm.Print_Area" localSheetId="3">'Formet 9'!$A$1:$T$37</definedName>
    <definedName name="_xlnm.Print_Area" localSheetId="19">'forwarding letter'!$A$1:$C$30</definedName>
    <definedName name="_xlnm.Print_Area" localSheetId="23">'GA2'!$A$1:$N$23</definedName>
    <definedName name="_xlnm.Print_Area" localSheetId="15">Liveries!$A$1:$S$20</definedName>
    <definedName name="_xlnm.Print_Area" localSheetId="6">Namankan!$A$1:$W$26</definedName>
    <definedName name="_xlnm.Print_Area" localSheetId="11">'Pending TA-Med List'!$A$1:$R$38</definedName>
    <definedName name="_xlnm.Print_Area" localSheetId="13">'PL Encash'!$A$1:$H$16</definedName>
    <definedName name="_xlnm.Print_Area" localSheetId="17">Sanvida!$A$1:$K$18</definedName>
    <definedName name="_xlnm.Print_Area" localSheetId="12">Scholership!$A$1:$U$43</definedName>
    <definedName name="_xlnm.Print_Area" localSheetId="5">Summary!$A$1:$C$51</definedName>
    <definedName name="_xlnm.Print_Area" localSheetId="20">Vardi!$A$1:$K$13</definedName>
    <definedName name="_xlnm.Print_Area" localSheetId="22">vidhyarthimitra!$A$1:$H$20</definedName>
  </definedNames>
  <calcPr calcId="124519"/>
</workbook>
</file>

<file path=xl/calcChain.xml><?xml version="1.0" encoding="utf-8"?>
<calcChain xmlns="http://schemas.openxmlformats.org/spreadsheetml/2006/main">
  <c r="G11" i="26"/>
  <c r="H5" i="16"/>
  <c r="K19" i="25"/>
  <c r="K18"/>
  <c r="K22" i="24"/>
  <c r="K21"/>
  <c r="K16" i="25"/>
  <c r="H16"/>
  <c r="G16"/>
  <c r="F16"/>
  <c r="E16"/>
  <c r="D16"/>
  <c r="C16"/>
  <c r="J15"/>
  <c r="N15" s="1"/>
  <c r="I15"/>
  <c r="J14"/>
  <c r="N14" s="1"/>
  <c r="I14"/>
  <c r="M14" s="1"/>
  <c r="J13"/>
  <c r="N13" s="1"/>
  <c r="I13"/>
  <c r="M13" s="1"/>
  <c r="J12"/>
  <c r="N12" s="1"/>
  <c r="I12"/>
  <c r="M12" s="1"/>
  <c r="J11"/>
  <c r="N11" s="1"/>
  <c r="I11"/>
  <c r="J10"/>
  <c r="N10" s="1"/>
  <c r="I10"/>
  <c r="M10" s="1"/>
  <c r="N9"/>
  <c r="L9"/>
  <c r="I9"/>
  <c r="I16" s="1"/>
  <c r="I9" i="24"/>
  <c r="H19"/>
  <c r="G19"/>
  <c r="F19"/>
  <c r="E19"/>
  <c r="D19"/>
  <c r="C19"/>
  <c r="N18"/>
  <c r="L18"/>
  <c r="I18"/>
  <c r="M18" s="1"/>
  <c r="N17"/>
  <c r="L17"/>
  <c r="I17"/>
  <c r="M17" s="1"/>
  <c r="N16"/>
  <c r="L16"/>
  <c r="I16"/>
  <c r="M16" s="1"/>
  <c r="N15"/>
  <c r="L15"/>
  <c r="I15"/>
  <c r="M15" s="1"/>
  <c r="N14"/>
  <c r="L14"/>
  <c r="I14"/>
  <c r="M14" s="1"/>
  <c r="N12"/>
  <c r="L12"/>
  <c r="I12"/>
  <c r="M12" s="1"/>
  <c r="N11"/>
  <c r="L11"/>
  <c r="I11"/>
  <c r="M11" s="1"/>
  <c r="N10"/>
  <c r="L10"/>
  <c r="I10"/>
  <c r="M10" s="1"/>
  <c r="K9"/>
  <c r="K19" s="1"/>
  <c r="J9"/>
  <c r="J19" s="1"/>
  <c r="I19"/>
  <c r="F16" i="23"/>
  <c r="F15"/>
  <c r="H12"/>
  <c r="G13" i="26"/>
  <c r="M11" i="25" l="1"/>
  <c r="L14"/>
  <c r="M15"/>
  <c r="N16"/>
  <c r="L11"/>
  <c r="L13"/>
  <c r="L15"/>
  <c r="J16"/>
  <c r="M9"/>
  <c r="M16" s="1"/>
  <c r="L10"/>
  <c r="L12"/>
  <c r="L9" i="24"/>
  <c r="L19" s="1"/>
  <c r="N9"/>
  <c r="N19" s="1"/>
  <c r="M9"/>
  <c r="M19" s="1"/>
  <c r="L16" i="25" l="1"/>
  <c r="B8" i="22" l="1"/>
  <c r="H8" s="1"/>
  <c r="C8"/>
  <c r="B9"/>
  <c r="H9" s="1"/>
  <c r="C9"/>
  <c r="B10"/>
  <c r="H10" s="1"/>
  <c r="C10"/>
  <c r="B11"/>
  <c r="H11" s="1"/>
  <c r="C11"/>
  <c r="B12"/>
  <c r="H12" s="1"/>
  <c r="C12"/>
  <c r="B13"/>
  <c r="H13" s="1"/>
  <c r="C13"/>
  <c r="B14"/>
  <c r="H14" s="1"/>
  <c r="C14"/>
  <c r="B15"/>
  <c r="H15" s="1"/>
  <c r="C15"/>
  <c r="B16"/>
  <c r="H16" s="1"/>
  <c r="C16"/>
  <c r="B17"/>
  <c r="H17" s="1"/>
  <c r="C17"/>
  <c r="B18"/>
  <c r="H18" s="1"/>
  <c r="C18"/>
  <c r="B19"/>
  <c r="H19" s="1"/>
  <c r="C19"/>
  <c r="B20"/>
  <c r="H20" s="1"/>
  <c r="C20"/>
  <c r="B21"/>
  <c r="H21" s="1"/>
  <c r="C21"/>
  <c r="B22"/>
  <c r="H22" s="1"/>
  <c r="C22"/>
  <c r="B23"/>
  <c r="H23" s="1"/>
  <c r="C23"/>
  <c r="B24"/>
  <c r="H24" s="1"/>
  <c r="C24"/>
  <c r="B25"/>
  <c r="H25" s="1"/>
  <c r="C25"/>
  <c r="B26"/>
  <c r="H26" s="1"/>
  <c r="C26"/>
  <c r="B27"/>
  <c r="H27" s="1"/>
  <c r="C27"/>
  <c r="B28"/>
  <c r="H28" s="1"/>
  <c r="C28"/>
  <c r="B29"/>
  <c r="H29" s="1"/>
  <c r="C29"/>
  <c r="B30"/>
  <c r="H30" s="1"/>
  <c r="C30"/>
  <c r="B31"/>
  <c r="H31" s="1"/>
  <c r="C31"/>
  <c r="B32"/>
  <c r="H32" s="1"/>
  <c r="C32"/>
  <c r="B33"/>
  <c r="H33" s="1"/>
  <c r="C33"/>
  <c r="B34"/>
  <c r="H34" s="1"/>
  <c r="C34"/>
  <c r="B35"/>
  <c r="H35" s="1"/>
  <c r="C35"/>
  <c r="B36"/>
  <c r="H36" s="1"/>
  <c r="C36"/>
  <c r="B37"/>
  <c r="H37" s="1"/>
  <c r="C37"/>
  <c r="C7"/>
  <c r="B7"/>
  <c r="H7" s="1"/>
  <c r="H41"/>
  <c r="H40"/>
  <c r="I11" i="21" l="1"/>
  <c r="I10"/>
  <c r="I7"/>
  <c r="H7"/>
  <c r="E7"/>
  <c r="C29" i="20"/>
  <c r="C28"/>
  <c r="E19" i="19"/>
  <c r="E18"/>
  <c r="F10"/>
  <c r="F14" s="1"/>
  <c r="E10"/>
  <c r="E14" s="1"/>
  <c r="I14" i="17"/>
  <c r="I13"/>
  <c r="H10"/>
  <c r="I9"/>
  <c r="J9" s="1"/>
  <c r="F9"/>
  <c r="I14" i="18"/>
  <c r="I13"/>
  <c r="H10"/>
  <c r="I9"/>
  <c r="J9" s="1"/>
  <c r="F9"/>
  <c r="A6"/>
  <c r="I1"/>
  <c r="O10" i="15"/>
  <c r="N10"/>
  <c r="L10"/>
  <c r="L11" s="1"/>
  <c r="K10"/>
  <c r="I10"/>
  <c r="H10"/>
  <c r="H11" s="1"/>
  <c r="E10"/>
  <c r="E11" s="1"/>
  <c r="D10"/>
  <c r="P16"/>
  <c r="B10" s="1"/>
  <c r="P15"/>
  <c r="E68" i="14"/>
  <c r="N11" i="15"/>
  <c r="D11"/>
  <c r="O11"/>
  <c r="K11"/>
  <c r="A5"/>
  <c r="F11" i="16"/>
  <c r="F10"/>
  <c r="H7"/>
  <c r="G7" s="1"/>
  <c r="E69" i="14"/>
  <c r="R41" i="13"/>
  <c r="R42"/>
  <c r="F21" i="14"/>
  <c r="G66"/>
  <c r="C38" i="13"/>
  <c r="C37"/>
  <c r="E37" s="1"/>
  <c r="K37" s="1"/>
  <c r="C36"/>
  <c r="C35"/>
  <c r="E35" s="1"/>
  <c r="K35" s="1"/>
  <c r="C34"/>
  <c r="C33"/>
  <c r="E33" s="1"/>
  <c r="K33" s="1"/>
  <c r="C12"/>
  <c r="C11"/>
  <c r="C10"/>
  <c r="E10" s="1"/>
  <c r="K10" s="1"/>
  <c r="C9"/>
  <c r="C8"/>
  <c r="C7"/>
  <c r="C25"/>
  <c r="C24"/>
  <c r="L24" s="1"/>
  <c r="R24" s="1"/>
  <c r="C23"/>
  <c r="L23" s="1"/>
  <c r="R23" s="1"/>
  <c r="C22"/>
  <c r="C21"/>
  <c r="E21" s="1"/>
  <c r="K21" s="1"/>
  <c r="C20"/>
  <c r="N38"/>
  <c r="G38"/>
  <c r="N37"/>
  <c r="G37"/>
  <c r="N36"/>
  <c r="G36"/>
  <c r="N35"/>
  <c r="G35"/>
  <c r="N34"/>
  <c r="G34"/>
  <c r="N33"/>
  <c r="G33"/>
  <c r="G25"/>
  <c r="E25"/>
  <c r="K25" s="1"/>
  <c r="N24"/>
  <c r="G24"/>
  <c r="E24"/>
  <c r="K24" s="1"/>
  <c r="G23"/>
  <c r="N22"/>
  <c r="L22"/>
  <c r="R22" s="1"/>
  <c r="G22"/>
  <c r="E22"/>
  <c r="K22" s="1"/>
  <c r="N21"/>
  <c r="G21"/>
  <c r="N20"/>
  <c r="G20"/>
  <c r="E20"/>
  <c r="K20" s="1"/>
  <c r="G12"/>
  <c r="E12"/>
  <c r="K12" s="1"/>
  <c r="N11"/>
  <c r="G11"/>
  <c r="E11"/>
  <c r="K11" s="1"/>
  <c r="G10"/>
  <c r="N9"/>
  <c r="G9"/>
  <c r="N8"/>
  <c r="G8"/>
  <c r="E8"/>
  <c r="K8" s="1"/>
  <c r="N7"/>
  <c r="G7"/>
  <c r="E8" i="1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7"/>
  <c r="F33"/>
  <c r="F32"/>
  <c r="P34" i="11"/>
  <c r="G30" i="12"/>
  <c r="F30"/>
  <c r="L21" i="13" l="1"/>
  <c r="R21" s="1"/>
  <c r="J10" i="17"/>
  <c r="K9"/>
  <c r="K10" s="1"/>
  <c r="I10"/>
  <c r="J10" i="18"/>
  <c r="K9"/>
  <c r="K10" s="1"/>
  <c r="I10"/>
  <c r="P10" i="15"/>
  <c r="P11" s="1"/>
  <c r="M10"/>
  <c r="R10"/>
  <c r="R11" s="1"/>
  <c r="I11"/>
  <c r="J10"/>
  <c r="M11"/>
  <c r="L38" i="13"/>
  <c r="R38" s="1"/>
  <c r="E38"/>
  <c r="K38" s="1"/>
  <c r="L37"/>
  <c r="R37" s="1"/>
  <c r="E36"/>
  <c r="K36" s="1"/>
  <c r="L35"/>
  <c r="R35" s="1"/>
  <c r="E34"/>
  <c r="K34" s="1"/>
  <c r="K39" s="1"/>
  <c r="L33"/>
  <c r="R33" s="1"/>
  <c r="L11"/>
  <c r="R11" s="1"/>
  <c r="L10"/>
  <c r="R10" s="1"/>
  <c r="L9"/>
  <c r="R9" s="1"/>
  <c r="E9"/>
  <c r="K9" s="1"/>
  <c r="L8"/>
  <c r="R8" s="1"/>
  <c r="E7"/>
  <c r="L25"/>
  <c r="R25" s="1"/>
  <c r="E23"/>
  <c r="K23" s="1"/>
  <c r="K26" s="1"/>
  <c r="L20"/>
  <c r="R20" s="1"/>
  <c r="R26" s="1"/>
  <c r="L12"/>
  <c r="R12" s="1"/>
  <c r="L36" l="1"/>
  <c r="R36" s="1"/>
  <c r="K7"/>
  <c r="K13" s="1"/>
  <c r="L7"/>
  <c r="R7" s="1"/>
  <c r="Q10" i="15"/>
  <c r="Q11" s="1"/>
  <c r="J11"/>
  <c r="L34" i="13"/>
  <c r="R34" s="1"/>
  <c r="R39" s="1"/>
  <c r="R13"/>
  <c r="L9" i="10" l="1"/>
  <c r="M9"/>
  <c r="N9"/>
  <c r="O9"/>
  <c r="P9"/>
  <c r="Q9"/>
  <c r="L10"/>
  <c r="M10"/>
  <c r="N10"/>
  <c r="O10"/>
  <c r="P10"/>
  <c r="Q10"/>
  <c r="L11"/>
  <c r="M11"/>
  <c r="N11"/>
  <c r="O11"/>
  <c r="P11"/>
  <c r="Q11"/>
  <c r="L12"/>
  <c r="M12"/>
  <c r="N12"/>
  <c r="O12"/>
  <c r="P12"/>
  <c r="Q12"/>
  <c r="L13"/>
  <c r="M13"/>
  <c r="N13"/>
  <c r="O13"/>
  <c r="P13"/>
  <c r="Q13"/>
  <c r="L14"/>
  <c r="M14"/>
  <c r="N14"/>
  <c r="O14"/>
  <c r="P14"/>
  <c r="Q14"/>
  <c r="L15"/>
  <c r="M15"/>
  <c r="N15"/>
  <c r="O15"/>
  <c r="P15"/>
  <c r="Q15"/>
  <c r="L16"/>
  <c r="M16"/>
  <c r="N16"/>
  <c r="O16"/>
  <c r="P16"/>
  <c r="Q16"/>
  <c r="L17"/>
  <c r="M17"/>
  <c r="N17"/>
  <c r="O17"/>
  <c r="P17"/>
  <c r="Q17"/>
  <c r="L18"/>
  <c r="M18"/>
  <c r="N18"/>
  <c r="O18"/>
  <c r="P18"/>
  <c r="Q18"/>
  <c r="L19"/>
  <c r="M19"/>
  <c r="N19"/>
  <c r="O19"/>
  <c r="P19"/>
  <c r="Q19"/>
  <c r="L20"/>
  <c r="M20"/>
  <c r="N20"/>
  <c r="O20"/>
  <c r="P20"/>
  <c r="Q20"/>
  <c r="L21"/>
  <c r="M21"/>
  <c r="N21"/>
  <c r="O21"/>
  <c r="P21"/>
  <c r="Q21"/>
  <c r="L22"/>
  <c r="M22"/>
  <c r="N22"/>
  <c r="O22"/>
  <c r="P22"/>
  <c r="Q22"/>
  <c r="L23"/>
  <c r="M23"/>
  <c r="N23"/>
  <c r="O23"/>
  <c r="P23"/>
  <c r="Q23"/>
  <c r="K24"/>
  <c r="R24" s="1"/>
  <c r="L24"/>
  <c r="M24"/>
  <c r="N24"/>
  <c r="O24"/>
  <c r="P24"/>
  <c r="Q24"/>
  <c r="K25"/>
  <c r="R25" s="1"/>
  <c r="L25"/>
  <c r="M25"/>
  <c r="N25"/>
  <c r="O25"/>
  <c r="P25"/>
  <c r="Q25"/>
  <c r="K26"/>
  <c r="R26" s="1"/>
  <c r="L26"/>
  <c r="M26"/>
  <c r="N26"/>
  <c r="O26"/>
  <c r="P26"/>
  <c r="Q26"/>
  <c r="K27"/>
  <c r="R27" s="1"/>
  <c r="L27"/>
  <c r="M27"/>
  <c r="N27"/>
  <c r="O27"/>
  <c r="P27"/>
  <c r="Q27"/>
  <c r="K28"/>
  <c r="R28" s="1"/>
  <c r="L28"/>
  <c r="M28"/>
  <c r="N28"/>
  <c r="O28"/>
  <c r="P28"/>
  <c r="Q28"/>
  <c r="M8"/>
  <c r="N8"/>
  <c r="O8"/>
  <c r="P8"/>
  <c r="Q8"/>
  <c r="L8"/>
  <c r="I27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G8"/>
  <c r="H8"/>
  <c r="D8"/>
  <c r="E8"/>
  <c r="F8"/>
  <c r="C8"/>
  <c r="B24"/>
  <c r="I24" s="1"/>
  <c r="B25"/>
  <c r="I25" s="1"/>
  <c r="B26"/>
  <c r="I26" s="1"/>
  <c r="B27"/>
  <c r="B28"/>
  <c r="I28" s="1"/>
  <c r="AC59" i="1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N61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59"/>
  <c r="F9" i="9"/>
  <c r="K7" i="12" s="1"/>
  <c r="A7" s="1"/>
  <c r="F10" i="9"/>
  <c r="K8" i="12" s="1"/>
  <c r="F11" i="9"/>
  <c r="K9" i="12" s="1"/>
  <c r="F12" i="9"/>
  <c r="K10" i="12" s="1"/>
  <c r="F13" i="9"/>
  <c r="K11" i="12" s="1"/>
  <c r="F14" i="9"/>
  <c r="K12" i="12" s="1"/>
  <c r="F15" i="9"/>
  <c r="K13" i="12" s="1"/>
  <c r="F16" i="9"/>
  <c r="K14" i="12" s="1"/>
  <c r="F17" i="9"/>
  <c r="K15" i="12" s="1"/>
  <c r="F18" i="9"/>
  <c r="K16" i="12" s="1"/>
  <c r="F19" i="9"/>
  <c r="K17" i="12" s="1"/>
  <c r="F20" i="9"/>
  <c r="K18" i="12" s="1"/>
  <c r="F21" i="9"/>
  <c r="K19" i="12" s="1"/>
  <c r="F22" i="9"/>
  <c r="K20" i="12" s="1"/>
  <c r="F23" i="9"/>
  <c r="K21" i="12" s="1"/>
  <c r="F24" i="9"/>
  <c r="K22" i="12" s="1"/>
  <c r="F25" i="9"/>
  <c r="K23" i="12" s="1"/>
  <c r="F26" i="9"/>
  <c r="K24" i="12" s="1"/>
  <c r="F27" i="9"/>
  <c r="K25" i="12" s="1"/>
  <c r="F28" i="9"/>
  <c r="K26" i="12" s="1"/>
  <c r="F29" i="9"/>
  <c r="K27" i="12" s="1"/>
  <c r="F30" i="9"/>
  <c r="F31"/>
  <c r="K29" i="12" s="1"/>
  <c r="F30" i="11"/>
  <c r="P35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BU116" i="4"/>
  <c r="BU107"/>
  <c r="BU108"/>
  <c r="BU109"/>
  <c r="BU110"/>
  <c r="BU113"/>
  <c r="BU114"/>
  <c r="BU115"/>
  <c r="O34" i="10"/>
  <c r="F34"/>
  <c r="L35" i="9"/>
  <c r="R23" i="7"/>
  <c r="O33" i="10"/>
  <c r="F33"/>
  <c r="L34" i="9"/>
  <c r="G13" i="8"/>
  <c r="R22" i="7"/>
  <c r="P29" i="10"/>
  <c r="P30" s="1"/>
  <c r="G29"/>
  <c r="G30" s="1"/>
  <c r="E29"/>
  <c r="E30" s="1"/>
  <c r="C29"/>
  <c r="C30" s="1"/>
  <c r="N29"/>
  <c r="N30" s="1"/>
  <c r="F29"/>
  <c r="F30" s="1"/>
  <c r="A8" i="12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H29" i="10"/>
  <c r="H30" s="1"/>
  <c r="K28" i="12"/>
  <c r="C10" i="15"/>
  <c r="I9" i="9"/>
  <c r="R9" s="1"/>
  <c r="I30"/>
  <c r="R30" s="1"/>
  <c r="I28"/>
  <c r="R28" s="1"/>
  <c r="I26"/>
  <c r="R26" s="1"/>
  <c r="I24"/>
  <c r="R24" s="1"/>
  <c r="I22"/>
  <c r="R22" s="1"/>
  <c r="I20"/>
  <c r="R20" s="1"/>
  <c r="I18"/>
  <c r="R18" s="1"/>
  <c r="I16"/>
  <c r="R16" s="1"/>
  <c r="I14"/>
  <c r="R14" s="1"/>
  <c r="I12"/>
  <c r="R12" s="1"/>
  <c r="I10"/>
  <c r="R10" s="1"/>
  <c r="I31"/>
  <c r="R31" s="1"/>
  <c r="I29"/>
  <c r="R29" s="1"/>
  <c r="I27"/>
  <c r="R27" s="1"/>
  <c r="I25"/>
  <c r="R25" s="1"/>
  <c r="I23"/>
  <c r="R23" s="1"/>
  <c r="I21"/>
  <c r="R21" s="1"/>
  <c r="I19"/>
  <c r="R19" s="1"/>
  <c r="I17"/>
  <c r="R17" s="1"/>
  <c r="I15"/>
  <c r="R15" s="1"/>
  <c r="I13"/>
  <c r="R13" s="1"/>
  <c r="I11"/>
  <c r="R11" s="1"/>
  <c r="D29" i="10"/>
  <c r="D30" s="1"/>
  <c r="L29"/>
  <c r="L30" s="1"/>
  <c r="Q29"/>
  <c r="Q30" s="1"/>
  <c r="O29"/>
  <c r="O30" s="1"/>
  <c r="M29"/>
  <c r="M30" s="1"/>
  <c r="C11" i="15" l="1"/>
  <c r="F10"/>
  <c r="F11" s="1"/>
  <c r="F18" i="11"/>
  <c r="F10"/>
  <c r="F12"/>
  <c r="F13"/>
  <c r="F14"/>
  <c r="F15"/>
  <c r="F16"/>
  <c r="F20"/>
  <c r="F22"/>
  <c r="F25"/>
  <c r="F28"/>
  <c r="F29"/>
  <c r="F27" l="1"/>
  <c r="F26"/>
  <c r="F24"/>
  <c r="F23"/>
  <c r="F21"/>
  <c r="F19"/>
  <c r="F17"/>
  <c r="F11"/>
  <c r="F8"/>
  <c r="F9"/>
  <c r="F31" l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5" i="3" l="1"/>
  <c r="A4" i="8" s="1"/>
  <c r="E5" i="1"/>
  <c r="H32" i="9"/>
  <c r="G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9"/>
  <c r="A10" s="1"/>
  <c r="A11" s="1"/>
  <c r="C9"/>
  <c r="G14" i="8"/>
  <c r="C10"/>
  <c r="A2"/>
  <c r="P35" i="5"/>
  <c r="P34"/>
  <c r="L32"/>
  <c r="I32"/>
  <c r="H32"/>
  <c r="G32"/>
  <c r="F32"/>
  <c r="E32"/>
  <c r="D32"/>
  <c r="L31"/>
  <c r="I31"/>
  <c r="H31"/>
  <c r="G31"/>
  <c r="F31"/>
  <c r="E31"/>
  <c r="D31"/>
  <c r="L30"/>
  <c r="I30"/>
  <c r="H30"/>
  <c r="G30"/>
  <c r="F30"/>
  <c r="E30"/>
  <c r="D30"/>
  <c r="L29"/>
  <c r="I29"/>
  <c r="H29"/>
  <c r="G29"/>
  <c r="F29"/>
  <c r="E29"/>
  <c r="D29"/>
  <c r="L28"/>
  <c r="I28"/>
  <c r="H28"/>
  <c r="G28"/>
  <c r="F28"/>
  <c r="E28"/>
  <c r="D28"/>
  <c r="L27"/>
  <c r="I27"/>
  <c r="H27"/>
  <c r="G27"/>
  <c r="F27"/>
  <c r="E27"/>
  <c r="D27"/>
  <c r="L26"/>
  <c r="I26"/>
  <c r="H26"/>
  <c r="G26"/>
  <c r="F26"/>
  <c r="E26"/>
  <c r="D26"/>
  <c r="L25"/>
  <c r="I25"/>
  <c r="H25"/>
  <c r="G25"/>
  <c r="F25"/>
  <c r="E25"/>
  <c r="D25"/>
  <c r="L24"/>
  <c r="I24"/>
  <c r="H24"/>
  <c r="G24"/>
  <c r="F24"/>
  <c r="E24"/>
  <c r="D24"/>
  <c r="L23"/>
  <c r="I23"/>
  <c r="H23"/>
  <c r="G23"/>
  <c r="F23"/>
  <c r="E23"/>
  <c r="D23"/>
  <c r="L22"/>
  <c r="I22"/>
  <c r="H22"/>
  <c r="G22"/>
  <c r="F22"/>
  <c r="E22"/>
  <c r="D22"/>
  <c r="L21"/>
  <c r="I21"/>
  <c r="H21"/>
  <c r="G21"/>
  <c r="F21"/>
  <c r="E21"/>
  <c r="D21"/>
  <c r="L20"/>
  <c r="I20"/>
  <c r="H20"/>
  <c r="G20"/>
  <c r="F20"/>
  <c r="E20"/>
  <c r="D20"/>
  <c r="L19"/>
  <c r="I19"/>
  <c r="H19"/>
  <c r="G19"/>
  <c r="F19"/>
  <c r="E19"/>
  <c r="D19"/>
  <c r="L18"/>
  <c r="I18"/>
  <c r="H18"/>
  <c r="G18"/>
  <c r="F18"/>
  <c r="E18"/>
  <c r="D18"/>
  <c r="L17"/>
  <c r="I17"/>
  <c r="H17"/>
  <c r="G17"/>
  <c r="F17"/>
  <c r="E17"/>
  <c r="D17"/>
  <c r="L16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3"/>
  <c r="H13"/>
  <c r="G13"/>
  <c r="L121" i="4" s="1"/>
  <c r="F13" i="5"/>
  <c r="E13"/>
  <c r="D13"/>
  <c r="I12"/>
  <c r="H12"/>
  <c r="G12"/>
  <c r="L120" i="4" s="1"/>
  <c r="F12" i="5"/>
  <c r="E12"/>
  <c r="D12"/>
  <c r="I11"/>
  <c r="E10" i="8" s="1"/>
  <c r="H11" i="5"/>
  <c r="G11"/>
  <c r="D10" i="8" s="1"/>
  <c r="G9" i="5"/>
  <c r="F9"/>
  <c r="E9"/>
  <c r="D9"/>
  <c r="H11" i="1"/>
  <c r="F11" i="5" s="1"/>
  <c r="E11"/>
  <c r="D11"/>
  <c r="T13" i="4"/>
  <c r="W13"/>
  <c r="X12"/>
  <c r="W12"/>
  <c r="T12"/>
  <c r="C172" i="1"/>
  <c r="C128"/>
  <c r="K143"/>
  <c r="K144"/>
  <c r="K145"/>
  <c r="K146"/>
  <c r="K147"/>
  <c r="K148"/>
  <c r="K149"/>
  <c r="K150"/>
  <c r="K15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39"/>
  <c r="K140"/>
  <c r="K141"/>
  <c r="K142"/>
  <c r="K128"/>
  <c r="K129"/>
  <c r="K130"/>
  <c r="K131"/>
  <c r="K132"/>
  <c r="K133"/>
  <c r="K134"/>
  <c r="K135"/>
  <c r="K136"/>
  <c r="K137"/>
  <c r="K138"/>
  <c r="D4" i="25" l="1"/>
  <c r="D4" i="24"/>
  <c r="C4" i="23"/>
  <c r="A4" i="22"/>
  <c r="A4" i="21"/>
  <c r="A6" i="17"/>
  <c r="A5" i="10"/>
  <c r="A4" i="12"/>
  <c r="B7" s="1"/>
  <c r="J5" i="10"/>
  <c r="A5" i="11"/>
  <c r="A12" i="9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F32"/>
  <c r="K30" i="12" s="1"/>
  <c r="I32" i="9" l="1"/>
  <c r="P12" i="4" l="1"/>
  <c r="DB60" i="1"/>
  <c r="DB61"/>
  <c r="DB62"/>
  <c r="DB63"/>
  <c r="DB64"/>
  <c r="DB65"/>
  <c r="DB66"/>
  <c r="DB67"/>
  <c r="DB68"/>
  <c r="DB69"/>
  <c r="DB70"/>
  <c r="DB71"/>
  <c r="DB72"/>
  <c r="DB73"/>
  <c r="DB74"/>
  <c r="DB75"/>
  <c r="DB76"/>
  <c r="DB77"/>
  <c r="DB78"/>
  <c r="DB79"/>
  <c r="DB80"/>
  <c r="DB81"/>
  <c r="DB82"/>
  <c r="DB83"/>
  <c r="DB84"/>
  <c r="DB85"/>
  <c r="DB86"/>
  <c r="DB87"/>
  <c r="DB88"/>
  <c r="DB89"/>
  <c r="DB90"/>
  <c r="DB91"/>
  <c r="DB92"/>
  <c r="DB93"/>
  <c r="DB94"/>
  <c r="DB95"/>
  <c r="DB96"/>
  <c r="DB97"/>
  <c r="DB98"/>
  <c r="DB99"/>
  <c r="DB100"/>
  <c r="DB101"/>
  <c r="DB102"/>
  <c r="DB103"/>
  <c r="DB104"/>
  <c r="DB105"/>
  <c r="DB106"/>
  <c r="DB107"/>
  <c r="DB108"/>
  <c r="DB109"/>
  <c r="DB59"/>
  <c r="CO60"/>
  <c r="CO61"/>
  <c r="CO62"/>
  <c r="CO63"/>
  <c r="CO64"/>
  <c r="CO65"/>
  <c r="CO66"/>
  <c r="CO67"/>
  <c r="CO68"/>
  <c r="CO69"/>
  <c r="CO70"/>
  <c r="CO71"/>
  <c r="CO72"/>
  <c r="CO73"/>
  <c r="CO74"/>
  <c r="CO75"/>
  <c r="CO76"/>
  <c r="CO77"/>
  <c r="CO78"/>
  <c r="CO79"/>
  <c r="CO80"/>
  <c r="CO81"/>
  <c r="CO82"/>
  <c r="CO83"/>
  <c r="CO84"/>
  <c r="CO85"/>
  <c r="CO86"/>
  <c r="CO87"/>
  <c r="CO88"/>
  <c r="CO89"/>
  <c r="CO90"/>
  <c r="CO91"/>
  <c r="CO92"/>
  <c r="CO93"/>
  <c r="CO94"/>
  <c r="CO95"/>
  <c r="CO96"/>
  <c r="CO97"/>
  <c r="CO98"/>
  <c r="CO99"/>
  <c r="CO100"/>
  <c r="CO101"/>
  <c r="CO102"/>
  <c r="CO103"/>
  <c r="CO104"/>
  <c r="CO105"/>
  <c r="CO106"/>
  <c r="CO107"/>
  <c r="CO108"/>
  <c r="CO59"/>
  <c r="CB60"/>
  <c r="CB61"/>
  <c r="CB62"/>
  <c r="CB63"/>
  <c r="CB64"/>
  <c r="CB65"/>
  <c r="CB66"/>
  <c r="CB67"/>
  <c r="CB68"/>
  <c r="CB69"/>
  <c r="CB70"/>
  <c r="CB71"/>
  <c r="CB72"/>
  <c r="CB73"/>
  <c r="CB74"/>
  <c r="CB75"/>
  <c r="CB76"/>
  <c r="CB77"/>
  <c r="CB78"/>
  <c r="CB79"/>
  <c r="CB80"/>
  <c r="CB81"/>
  <c r="CB82"/>
  <c r="CB83"/>
  <c r="CB84"/>
  <c r="CB85"/>
  <c r="CB86"/>
  <c r="CB87"/>
  <c r="CB88"/>
  <c r="CB89"/>
  <c r="CB90"/>
  <c r="CB91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59"/>
  <c r="BO60"/>
  <c r="BO61"/>
  <c r="BO62"/>
  <c r="BO63"/>
  <c r="BO64"/>
  <c r="BO65"/>
  <c r="BO66"/>
  <c r="BO67"/>
  <c r="BO68"/>
  <c r="BO69"/>
  <c r="BO70"/>
  <c r="BO71"/>
  <c r="BO72"/>
  <c r="BO73"/>
  <c r="BO74"/>
  <c r="BO75"/>
  <c r="BO76"/>
  <c r="BO77"/>
  <c r="BO78"/>
  <c r="BO79"/>
  <c r="BO80"/>
  <c r="BO81"/>
  <c r="BO82"/>
  <c r="BO83"/>
  <c r="BO84"/>
  <c r="BO85"/>
  <c r="BO86"/>
  <c r="BO87"/>
  <c r="BO88"/>
  <c r="BO89"/>
  <c r="BO90"/>
  <c r="BO91"/>
  <c r="BO92"/>
  <c r="BO93"/>
  <c r="BO94"/>
  <c r="BO95"/>
  <c r="BO96"/>
  <c r="BO97"/>
  <c r="BO98"/>
  <c r="BO99"/>
  <c r="BO100"/>
  <c r="BO101"/>
  <c r="BO102"/>
  <c r="BO103"/>
  <c r="BO104"/>
  <c r="BO105"/>
  <c r="BO106"/>
  <c r="BO107"/>
  <c r="BO108"/>
  <c r="BO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BB91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108"/>
  <c r="AO59"/>
  <c r="CC71"/>
  <c r="CC72"/>
  <c r="CC73"/>
  <c r="CC74"/>
  <c r="CC75"/>
  <c r="CC76"/>
  <c r="CC77"/>
  <c r="CC78"/>
  <c r="CC79"/>
  <c r="CC80"/>
  <c r="CC81"/>
  <c r="CC82"/>
  <c r="CC83"/>
  <c r="CC84"/>
  <c r="CC85"/>
  <c r="CC61"/>
  <c r="CC62"/>
  <c r="CC63"/>
  <c r="CC64"/>
  <c r="CC65"/>
  <c r="CC66"/>
  <c r="CC67"/>
  <c r="CC68"/>
  <c r="CC69"/>
  <c r="CC70"/>
  <c r="CC60"/>
  <c r="CC59"/>
  <c r="CS60"/>
  <c r="CT60"/>
  <c r="CU60"/>
  <c r="CV60"/>
  <c r="CW60"/>
  <c r="CX60"/>
  <c r="CY60"/>
  <c r="CZ60"/>
  <c r="DA60"/>
  <c r="DC60"/>
  <c r="CS61"/>
  <c r="CT61"/>
  <c r="CU61"/>
  <c r="CV61"/>
  <c r="CW61"/>
  <c r="CX61"/>
  <c r="CY61"/>
  <c r="CZ61"/>
  <c r="DA61"/>
  <c r="DC61"/>
  <c r="CQ61" s="1"/>
  <c r="CS62"/>
  <c r="CT62"/>
  <c r="CU62"/>
  <c r="CV62"/>
  <c r="CW62"/>
  <c r="CX62"/>
  <c r="CY62"/>
  <c r="CZ62"/>
  <c r="DA62"/>
  <c r="DC62"/>
  <c r="CS63"/>
  <c r="CT63"/>
  <c r="CU63"/>
  <c r="CV63"/>
  <c r="CW63"/>
  <c r="CX63"/>
  <c r="CY63"/>
  <c r="CZ63"/>
  <c r="DA63"/>
  <c r="DC63"/>
  <c r="CS64"/>
  <c r="CT64"/>
  <c r="CU64"/>
  <c r="CV64"/>
  <c r="CW64"/>
  <c r="CX64"/>
  <c r="CY64"/>
  <c r="CZ64"/>
  <c r="DA64"/>
  <c r="DC64"/>
  <c r="CS65"/>
  <c r="CT65"/>
  <c r="CU65"/>
  <c r="CV65"/>
  <c r="CW65"/>
  <c r="CX65"/>
  <c r="CY65"/>
  <c r="CZ65"/>
  <c r="DA65"/>
  <c r="DC65"/>
  <c r="CS66"/>
  <c r="CT66"/>
  <c r="CU66"/>
  <c r="CV66"/>
  <c r="CW66"/>
  <c r="CX66"/>
  <c r="CY66"/>
  <c r="CZ66"/>
  <c r="DA66"/>
  <c r="DC66"/>
  <c r="CS67"/>
  <c r="CT67"/>
  <c r="CU67"/>
  <c r="CV67"/>
  <c r="CW67"/>
  <c r="CX67"/>
  <c r="CY67"/>
  <c r="CZ67"/>
  <c r="DA67"/>
  <c r="DC67"/>
  <c r="CS68"/>
  <c r="CT68"/>
  <c r="CU68"/>
  <c r="CV68"/>
  <c r="CW68"/>
  <c r="CX68"/>
  <c r="CY68"/>
  <c r="CZ68"/>
  <c r="DA68"/>
  <c r="DC68"/>
  <c r="CS69"/>
  <c r="CT69"/>
  <c r="CU69"/>
  <c r="CV69"/>
  <c r="CW69"/>
  <c r="CX69"/>
  <c r="CY69"/>
  <c r="CZ69"/>
  <c r="DA69"/>
  <c r="DC69"/>
  <c r="CS70"/>
  <c r="CT70"/>
  <c r="CU70"/>
  <c r="CV70"/>
  <c r="CW70"/>
  <c r="CX70"/>
  <c r="CY70"/>
  <c r="CZ70"/>
  <c r="DA70"/>
  <c r="DC70"/>
  <c r="CS71"/>
  <c r="CT71"/>
  <c r="CU71"/>
  <c r="CV71"/>
  <c r="CW71"/>
  <c r="CX71"/>
  <c r="CY71"/>
  <c r="CZ71"/>
  <c r="DA71"/>
  <c r="DC71"/>
  <c r="CS72"/>
  <c r="CT72"/>
  <c r="CU72"/>
  <c r="CV72"/>
  <c r="CW72"/>
  <c r="CX72"/>
  <c r="CY72"/>
  <c r="CZ72"/>
  <c r="DA72"/>
  <c r="DC72"/>
  <c r="CS73"/>
  <c r="CT73"/>
  <c r="CU73"/>
  <c r="CV73"/>
  <c r="CW73"/>
  <c r="CX73"/>
  <c r="CY73"/>
  <c r="CZ73"/>
  <c r="DA73"/>
  <c r="DC73"/>
  <c r="CS74"/>
  <c r="CT74"/>
  <c r="CU74"/>
  <c r="CV74"/>
  <c r="CW74"/>
  <c r="CX74"/>
  <c r="CY74"/>
  <c r="CZ74"/>
  <c r="DA74"/>
  <c r="DC74"/>
  <c r="CS75"/>
  <c r="CT75"/>
  <c r="CU75"/>
  <c r="CV75"/>
  <c r="CW75"/>
  <c r="CX75"/>
  <c r="CY75"/>
  <c r="CZ75"/>
  <c r="DA75"/>
  <c r="DC75"/>
  <c r="CS76"/>
  <c r="CT76"/>
  <c r="CU76"/>
  <c r="CV76"/>
  <c r="CW76"/>
  <c r="CX76"/>
  <c r="CY76"/>
  <c r="CZ76"/>
  <c r="DA76"/>
  <c r="DC76"/>
  <c r="CS77"/>
  <c r="CT77"/>
  <c r="CU77"/>
  <c r="CV77"/>
  <c r="CW77"/>
  <c r="CX77"/>
  <c r="CY77"/>
  <c r="CZ77"/>
  <c r="DA77"/>
  <c r="DC77"/>
  <c r="CS78"/>
  <c r="CT78"/>
  <c r="CU78"/>
  <c r="CV78"/>
  <c r="CW78"/>
  <c r="CX78"/>
  <c r="CY78"/>
  <c r="CZ78"/>
  <c r="DA78"/>
  <c r="DC78"/>
  <c r="CS79"/>
  <c r="CT79"/>
  <c r="CU79"/>
  <c r="CV79"/>
  <c r="CW79"/>
  <c r="CX79"/>
  <c r="CY79"/>
  <c r="CZ79"/>
  <c r="DA79"/>
  <c r="DC79"/>
  <c r="CS80"/>
  <c r="CT80"/>
  <c r="CU80"/>
  <c r="CV80"/>
  <c r="CW80"/>
  <c r="CX80"/>
  <c r="CY80"/>
  <c r="CZ80"/>
  <c r="DA80"/>
  <c r="DC80"/>
  <c r="CS81"/>
  <c r="CT81"/>
  <c r="CU81"/>
  <c r="CV81"/>
  <c r="CW81"/>
  <c r="CX81"/>
  <c r="CY81"/>
  <c r="CZ81"/>
  <c r="DA81"/>
  <c r="DC81"/>
  <c r="CS82"/>
  <c r="CT82"/>
  <c r="CU82"/>
  <c r="CV82"/>
  <c r="CW82"/>
  <c r="CX82"/>
  <c r="CY82"/>
  <c r="CZ82"/>
  <c r="DA82"/>
  <c r="DC82"/>
  <c r="CS83"/>
  <c r="CT83"/>
  <c r="CU83"/>
  <c r="CV83"/>
  <c r="CW83"/>
  <c r="CX83"/>
  <c r="CY83"/>
  <c r="CZ83"/>
  <c r="DA83"/>
  <c r="DC83"/>
  <c r="CQ83" s="1"/>
  <c r="CS84"/>
  <c r="CT84"/>
  <c r="CU84"/>
  <c r="CV84"/>
  <c r="CW84"/>
  <c r="CX84"/>
  <c r="CY84"/>
  <c r="CZ84"/>
  <c r="DA84"/>
  <c r="DC84"/>
  <c r="CS85"/>
  <c r="CT85"/>
  <c r="CU85"/>
  <c r="CV85"/>
  <c r="CW85"/>
  <c r="CX85"/>
  <c r="CY85"/>
  <c r="CZ85"/>
  <c r="DA85"/>
  <c r="DC85"/>
  <c r="CQ85" s="1"/>
  <c r="CS86"/>
  <c r="CT86"/>
  <c r="CU86"/>
  <c r="CV86"/>
  <c r="CW86"/>
  <c r="CX86"/>
  <c r="CY86"/>
  <c r="CZ86"/>
  <c r="DA86"/>
  <c r="DC86"/>
  <c r="CS87"/>
  <c r="CT87"/>
  <c r="CU87"/>
  <c r="CV87"/>
  <c r="CW87"/>
  <c r="CX87"/>
  <c r="CY87"/>
  <c r="CZ87"/>
  <c r="DA87"/>
  <c r="DC87"/>
  <c r="CQ87" s="1"/>
  <c r="CS88"/>
  <c r="CT88"/>
  <c r="CU88"/>
  <c r="CV88"/>
  <c r="CW88"/>
  <c r="CX88"/>
  <c r="CY88"/>
  <c r="CZ88"/>
  <c r="DA88"/>
  <c r="DC88"/>
  <c r="CS89"/>
  <c r="CT89"/>
  <c r="CU89"/>
  <c r="CV89"/>
  <c r="CW89"/>
  <c r="CX89"/>
  <c r="CY89"/>
  <c r="CZ89"/>
  <c r="DA89"/>
  <c r="DC89"/>
  <c r="CQ89" s="1"/>
  <c r="CS90"/>
  <c r="CT90"/>
  <c r="CU90"/>
  <c r="CV90"/>
  <c r="CW90"/>
  <c r="CX90"/>
  <c r="CY90"/>
  <c r="CZ90"/>
  <c r="DA90"/>
  <c r="DC90"/>
  <c r="CS91"/>
  <c r="CT91"/>
  <c r="CU91"/>
  <c r="CV91"/>
  <c r="CW91"/>
  <c r="CX91"/>
  <c r="CY91"/>
  <c r="CZ91"/>
  <c r="DA91"/>
  <c r="DC91"/>
  <c r="CQ91" s="1"/>
  <c r="CS92"/>
  <c r="CT92"/>
  <c r="CU92"/>
  <c r="CV92"/>
  <c r="CW92"/>
  <c r="CX92"/>
  <c r="CY92"/>
  <c r="CZ92"/>
  <c r="DA92"/>
  <c r="DC92"/>
  <c r="CS93"/>
  <c r="CT93"/>
  <c r="CU93"/>
  <c r="CV93"/>
  <c r="CW93"/>
  <c r="CX93"/>
  <c r="CY93"/>
  <c r="CZ93"/>
  <c r="DA93"/>
  <c r="DC93"/>
  <c r="CQ93" s="1"/>
  <c r="CS94"/>
  <c r="CT94"/>
  <c r="CU94"/>
  <c r="CV94"/>
  <c r="CW94"/>
  <c r="CX94"/>
  <c r="CY94"/>
  <c r="CZ94"/>
  <c r="DA94"/>
  <c r="DC94"/>
  <c r="CS95"/>
  <c r="CT95"/>
  <c r="CU95"/>
  <c r="CV95"/>
  <c r="CW95"/>
  <c r="CX95"/>
  <c r="CY95"/>
  <c r="CZ95"/>
  <c r="DA95"/>
  <c r="DC95"/>
  <c r="CQ95" s="1"/>
  <c r="CS96"/>
  <c r="CT96"/>
  <c r="CU96"/>
  <c r="CV96"/>
  <c r="CW96"/>
  <c r="CX96"/>
  <c r="CY96"/>
  <c r="CZ96"/>
  <c r="DA96"/>
  <c r="DC96"/>
  <c r="CS97"/>
  <c r="CT97"/>
  <c r="CU97"/>
  <c r="CV97"/>
  <c r="CW97"/>
  <c r="CX97"/>
  <c r="CY97"/>
  <c r="CZ97"/>
  <c r="DA97"/>
  <c r="DC97"/>
  <c r="CQ97" s="1"/>
  <c r="CS98"/>
  <c r="CT98"/>
  <c r="CU98"/>
  <c r="CV98"/>
  <c r="CW98"/>
  <c r="CX98"/>
  <c r="CY98"/>
  <c r="CZ98"/>
  <c r="DA98"/>
  <c r="DC98"/>
  <c r="CS99"/>
  <c r="CT99"/>
  <c r="CU99"/>
  <c r="CV99"/>
  <c r="CW99"/>
  <c r="CX99"/>
  <c r="CY99"/>
  <c r="CZ99"/>
  <c r="DA99"/>
  <c r="DC99"/>
  <c r="CQ99" s="1"/>
  <c r="CS100"/>
  <c r="CT100"/>
  <c r="CU100"/>
  <c r="CV100"/>
  <c r="CW100"/>
  <c r="CX100"/>
  <c r="CY100"/>
  <c r="CZ100"/>
  <c r="DA100"/>
  <c r="DC100"/>
  <c r="CS101"/>
  <c r="CT101"/>
  <c r="CU101"/>
  <c r="CV101"/>
  <c r="CW101"/>
  <c r="CX101"/>
  <c r="CY101"/>
  <c r="CZ101"/>
  <c r="DA101"/>
  <c r="DC101"/>
  <c r="CQ101" s="1"/>
  <c r="CS102"/>
  <c r="CT102"/>
  <c r="CU102"/>
  <c r="CV102"/>
  <c r="CW102"/>
  <c r="CX102"/>
  <c r="CY102"/>
  <c r="CZ102"/>
  <c r="DA102"/>
  <c r="DC102"/>
  <c r="CS103"/>
  <c r="CT103"/>
  <c r="CU103"/>
  <c r="CV103"/>
  <c r="CW103"/>
  <c r="CX103"/>
  <c r="CY103"/>
  <c r="CZ103"/>
  <c r="DA103"/>
  <c r="DC103"/>
  <c r="CQ103" s="1"/>
  <c r="CS104"/>
  <c r="CT104"/>
  <c r="CU104"/>
  <c r="CV104"/>
  <c r="CW104"/>
  <c r="CX104"/>
  <c r="CY104"/>
  <c r="CZ104"/>
  <c r="DA104"/>
  <c r="DC104"/>
  <c r="CS105"/>
  <c r="CT105"/>
  <c r="CU105"/>
  <c r="CV105"/>
  <c r="CW105"/>
  <c r="CX105"/>
  <c r="CY105"/>
  <c r="CZ105"/>
  <c r="DA105"/>
  <c r="DC105"/>
  <c r="CQ105" s="1"/>
  <c r="CS106"/>
  <c r="CT106"/>
  <c r="CU106"/>
  <c r="CV106"/>
  <c r="CW106"/>
  <c r="CX106"/>
  <c r="CY106"/>
  <c r="CZ106"/>
  <c r="DA106"/>
  <c r="DC106"/>
  <c r="CS107"/>
  <c r="CT107"/>
  <c r="CU107"/>
  <c r="CV107"/>
  <c r="CW107"/>
  <c r="CX107"/>
  <c r="CY107"/>
  <c r="CZ107"/>
  <c r="DA107"/>
  <c r="DC107"/>
  <c r="CQ107" s="1"/>
  <c r="CS108"/>
  <c r="CT108"/>
  <c r="CU108"/>
  <c r="CV108"/>
  <c r="CW108"/>
  <c r="CX108"/>
  <c r="CY108"/>
  <c r="CZ108"/>
  <c r="DA108"/>
  <c r="DC108"/>
  <c r="CS109"/>
  <c r="CT109"/>
  <c r="CU109"/>
  <c r="CV109"/>
  <c r="CW109"/>
  <c r="CX109"/>
  <c r="CY109"/>
  <c r="CZ109"/>
  <c r="DA109"/>
  <c r="DC109"/>
  <c r="CQ62"/>
  <c r="CQ63"/>
  <c r="CQ64"/>
  <c r="CQ66"/>
  <c r="CQ68"/>
  <c r="CQ69"/>
  <c r="CQ70"/>
  <c r="CQ71"/>
  <c r="CQ72"/>
  <c r="CQ73"/>
  <c r="CQ74"/>
  <c r="CQ75"/>
  <c r="CQ76"/>
  <c r="CQ77"/>
  <c r="CQ78"/>
  <c r="CQ79"/>
  <c r="CQ80"/>
  <c r="CQ81"/>
  <c r="CQ82"/>
  <c r="CQ84"/>
  <c r="CQ86"/>
  <c r="CQ88"/>
  <c r="CQ90"/>
  <c r="CQ92"/>
  <c r="CQ94"/>
  <c r="CQ96"/>
  <c r="CQ98"/>
  <c r="CQ100"/>
  <c r="CQ102"/>
  <c r="CQ104"/>
  <c r="CQ106"/>
  <c r="CQ108"/>
  <c r="CQ60"/>
  <c r="DC59"/>
  <c r="CQ59" s="1"/>
  <c r="CQ65" s="1"/>
  <c r="CP60"/>
  <c r="CP61"/>
  <c r="CP62"/>
  <c r="CP63"/>
  <c r="CP64"/>
  <c r="CP65"/>
  <c r="CP66"/>
  <c r="CP67"/>
  <c r="CP68"/>
  <c r="CP69"/>
  <c r="CP70"/>
  <c r="CP71"/>
  <c r="CP72"/>
  <c r="CP73"/>
  <c r="CP74"/>
  <c r="CP75"/>
  <c r="CD75" s="1"/>
  <c r="CP76"/>
  <c r="CP77"/>
  <c r="CP78"/>
  <c r="CP79"/>
  <c r="CP80"/>
  <c r="CP81"/>
  <c r="CP82"/>
  <c r="CP83"/>
  <c r="CP84"/>
  <c r="CP85"/>
  <c r="CP86"/>
  <c r="CP87"/>
  <c r="CP88"/>
  <c r="CP89"/>
  <c r="CP90"/>
  <c r="CP91"/>
  <c r="CP92"/>
  <c r="CP93"/>
  <c r="CP94"/>
  <c r="CP95"/>
  <c r="CP96"/>
  <c r="CP97"/>
  <c r="CP98"/>
  <c r="CP99"/>
  <c r="CP100"/>
  <c r="CP101"/>
  <c r="CP102"/>
  <c r="CP103"/>
  <c r="CP104"/>
  <c r="CP105"/>
  <c r="CP106"/>
  <c r="CP107"/>
  <c r="CP108"/>
  <c r="CF60"/>
  <c r="CG60"/>
  <c r="CH60"/>
  <c r="CI60"/>
  <c r="CJ60"/>
  <c r="CK60"/>
  <c r="CL60"/>
  <c r="CM60"/>
  <c r="CN60"/>
  <c r="CF61"/>
  <c r="CG61"/>
  <c r="CH61"/>
  <c r="CI61"/>
  <c r="CJ61"/>
  <c r="CK61"/>
  <c r="CL61"/>
  <c r="CM61"/>
  <c r="CN61"/>
  <c r="CF62"/>
  <c r="CG62"/>
  <c r="CH62"/>
  <c r="CI62"/>
  <c r="CJ62"/>
  <c r="CK62"/>
  <c r="CL62"/>
  <c r="CM62"/>
  <c r="CN62"/>
  <c r="CF63"/>
  <c r="CG63"/>
  <c r="CH63"/>
  <c r="CI63"/>
  <c r="CJ63"/>
  <c r="CK63"/>
  <c r="CL63"/>
  <c r="CM63"/>
  <c r="CN63"/>
  <c r="CF64"/>
  <c r="CG64"/>
  <c r="CH64"/>
  <c r="CI64"/>
  <c r="CJ64"/>
  <c r="CK64"/>
  <c r="CL64"/>
  <c r="CM64"/>
  <c r="CN64"/>
  <c r="CF65"/>
  <c r="CG65"/>
  <c r="CH65"/>
  <c r="CI65"/>
  <c r="CJ65"/>
  <c r="CK65"/>
  <c r="CL65"/>
  <c r="CM65"/>
  <c r="CN65"/>
  <c r="CF66"/>
  <c r="CG66"/>
  <c r="CH66"/>
  <c r="CI66"/>
  <c r="CJ66"/>
  <c r="CK66"/>
  <c r="CL66"/>
  <c r="CM66"/>
  <c r="CN66"/>
  <c r="CF67"/>
  <c r="CG67"/>
  <c r="CH67"/>
  <c r="CI67"/>
  <c r="CJ67"/>
  <c r="CK67"/>
  <c r="CL67"/>
  <c r="CM67"/>
  <c r="CN67"/>
  <c r="CF68"/>
  <c r="CG68"/>
  <c r="CH68"/>
  <c r="CI68"/>
  <c r="CJ68"/>
  <c r="CK68"/>
  <c r="CL68"/>
  <c r="CM68"/>
  <c r="CN68"/>
  <c r="CF69"/>
  <c r="CG69"/>
  <c r="CH69"/>
  <c r="CI69"/>
  <c r="CJ69"/>
  <c r="CK69"/>
  <c r="CL69"/>
  <c r="CM69"/>
  <c r="CN69"/>
  <c r="CF70"/>
  <c r="CG70"/>
  <c r="CH70"/>
  <c r="CI70"/>
  <c r="CJ70"/>
  <c r="CK70"/>
  <c r="CL70"/>
  <c r="CM70"/>
  <c r="CN70"/>
  <c r="CF71"/>
  <c r="CG71"/>
  <c r="CH71"/>
  <c r="CI71"/>
  <c r="CJ71"/>
  <c r="CK71"/>
  <c r="CL71"/>
  <c r="CM71"/>
  <c r="CN71"/>
  <c r="CF72"/>
  <c r="CG72"/>
  <c r="CH72"/>
  <c r="CI72"/>
  <c r="CJ72"/>
  <c r="CK72"/>
  <c r="CL72"/>
  <c r="CM72"/>
  <c r="CN72"/>
  <c r="CF73"/>
  <c r="CG73"/>
  <c r="CH73"/>
  <c r="CI73"/>
  <c r="CJ73"/>
  <c r="CK73"/>
  <c r="CL73"/>
  <c r="CM73"/>
  <c r="CN73"/>
  <c r="CF74"/>
  <c r="CG74"/>
  <c r="CH74"/>
  <c r="CI74"/>
  <c r="CJ74"/>
  <c r="CK74"/>
  <c r="CL74"/>
  <c r="CM74"/>
  <c r="CN74"/>
  <c r="CF75"/>
  <c r="CG75"/>
  <c r="CH75"/>
  <c r="CI75"/>
  <c r="CJ75"/>
  <c r="CK75"/>
  <c r="CL75"/>
  <c r="CM75"/>
  <c r="CN75"/>
  <c r="CF76"/>
  <c r="CG76"/>
  <c r="CH76"/>
  <c r="CI76"/>
  <c r="CJ76"/>
  <c r="CK76"/>
  <c r="CL76"/>
  <c r="CM76"/>
  <c r="CN76"/>
  <c r="CF77"/>
  <c r="CG77"/>
  <c r="CH77"/>
  <c r="CI77"/>
  <c r="CJ77"/>
  <c r="CK77"/>
  <c r="CL77"/>
  <c r="CM77"/>
  <c r="CN77"/>
  <c r="CF78"/>
  <c r="CG78"/>
  <c r="CH78"/>
  <c r="CI78"/>
  <c r="CJ78"/>
  <c r="CK78"/>
  <c r="CL78"/>
  <c r="CM78"/>
  <c r="CN78"/>
  <c r="CF79"/>
  <c r="CG79"/>
  <c r="CH79"/>
  <c r="CI79"/>
  <c r="CJ79"/>
  <c r="CK79"/>
  <c r="CL79"/>
  <c r="CM79"/>
  <c r="CN79"/>
  <c r="CF80"/>
  <c r="CG80"/>
  <c r="CH80"/>
  <c r="CI80"/>
  <c r="CJ80"/>
  <c r="CK80"/>
  <c r="CL80"/>
  <c r="CM80"/>
  <c r="CN80"/>
  <c r="CF81"/>
  <c r="CG81"/>
  <c r="CH81"/>
  <c r="CI81"/>
  <c r="CJ81"/>
  <c r="CK81"/>
  <c r="CL81"/>
  <c r="CM81"/>
  <c r="CN81"/>
  <c r="CF82"/>
  <c r="CG82"/>
  <c r="CH82"/>
  <c r="CI82"/>
  <c r="CJ82"/>
  <c r="CK82"/>
  <c r="CL82"/>
  <c r="CM82"/>
  <c r="CN82"/>
  <c r="CF83"/>
  <c r="CG83"/>
  <c r="CH83"/>
  <c r="CI83"/>
  <c r="CJ83"/>
  <c r="CK83"/>
  <c r="CL83"/>
  <c r="CM83"/>
  <c r="CN83"/>
  <c r="CF84"/>
  <c r="CG84"/>
  <c r="CH84"/>
  <c r="CI84"/>
  <c r="CJ84"/>
  <c r="CK84"/>
  <c r="CL84"/>
  <c r="CM84"/>
  <c r="CN84"/>
  <c r="CF85"/>
  <c r="CG85"/>
  <c r="CH85"/>
  <c r="CI85"/>
  <c r="CJ85"/>
  <c r="CK85"/>
  <c r="CL85"/>
  <c r="CM85"/>
  <c r="CN85"/>
  <c r="CF86"/>
  <c r="CG86"/>
  <c r="CH86"/>
  <c r="CI86"/>
  <c r="CJ86"/>
  <c r="CK86"/>
  <c r="CL86"/>
  <c r="CM86"/>
  <c r="CN86"/>
  <c r="CF87"/>
  <c r="CG87"/>
  <c r="CH87"/>
  <c r="CI87"/>
  <c r="CJ87"/>
  <c r="CK87"/>
  <c r="CL87"/>
  <c r="CM87"/>
  <c r="CN87"/>
  <c r="CF88"/>
  <c r="CG88"/>
  <c r="CH88"/>
  <c r="CI88"/>
  <c r="CJ88"/>
  <c r="CK88"/>
  <c r="CL88"/>
  <c r="CM88"/>
  <c r="CN88"/>
  <c r="CF89"/>
  <c r="CG89"/>
  <c r="CH89"/>
  <c r="CI89"/>
  <c r="CJ89"/>
  <c r="CK89"/>
  <c r="CL89"/>
  <c r="CM89"/>
  <c r="CN89"/>
  <c r="CF90"/>
  <c r="CG90"/>
  <c r="CH90"/>
  <c r="CI90"/>
  <c r="CJ90"/>
  <c r="CK90"/>
  <c r="CL90"/>
  <c r="CM90"/>
  <c r="CN90"/>
  <c r="CF91"/>
  <c r="CG91"/>
  <c r="CH91"/>
  <c r="CI91"/>
  <c r="CJ91"/>
  <c r="CK91"/>
  <c r="CL91"/>
  <c r="CM91"/>
  <c r="CN91"/>
  <c r="CF92"/>
  <c r="CG92"/>
  <c r="CH92"/>
  <c r="CI92"/>
  <c r="CJ92"/>
  <c r="CK92"/>
  <c r="CL92"/>
  <c r="CM92"/>
  <c r="CN92"/>
  <c r="CF93"/>
  <c r="CG93"/>
  <c r="CH93"/>
  <c r="CI93"/>
  <c r="CJ93"/>
  <c r="CK93"/>
  <c r="CL93"/>
  <c r="CM93"/>
  <c r="CN93"/>
  <c r="CF94"/>
  <c r="CG94"/>
  <c r="CH94"/>
  <c r="CI94"/>
  <c r="CJ94"/>
  <c r="CK94"/>
  <c r="CL94"/>
  <c r="CM94"/>
  <c r="CN94"/>
  <c r="CF95"/>
  <c r="CG95"/>
  <c r="CH95"/>
  <c r="CI95"/>
  <c r="CJ95"/>
  <c r="CK95"/>
  <c r="CL95"/>
  <c r="CM95"/>
  <c r="CN95"/>
  <c r="CF96"/>
  <c r="CG96"/>
  <c r="CH96"/>
  <c r="CI96"/>
  <c r="CJ96"/>
  <c r="CK96"/>
  <c r="CL96"/>
  <c r="CM96"/>
  <c r="CN96"/>
  <c r="CF97"/>
  <c r="CG97"/>
  <c r="CH97"/>
  <c r="CI97"/>
  <c r="CJ97"/>
  <c r="CK97"/>
  <c r="CL97"/>
  <c r="CM97"/>
  <c r="CN97"/>
  <c r="CF98"/>
  <c r="CG98"/>
  <c r="CH98"/>
  <c r="CI98"/>
  <c r="CJ98"/>
  <c r="CK98"/>
  <c r="CL98"/>
  <c r="CM98"/>
  <c r="CN98"/>
  <c r="CF99"/>
  <c r="CG99"/>
  <c r="CH99"/>
  <c r="CI99"/>
  <c r="CJ99"/>
  <c r="CK99"/>
  <c r="CL99"/>
  <c r="CM99"/>
  <c r="CN99"/>
  <c r="CF100"/>
  <c r="CG100"/>
  <c r="CH100"/>
  <c r="CI100"/>
  <c r="CJ100"/>
  <c r="CK100"/>
  <c r="CL100"/>
  <c r="CM100"/>
  <c r="CN100"/>
  <c r="CF101"/>
  <c r="CG101"/>
  <c r="CH101"/>
  <c r="CI101"/>
  <c r="CJ101"/>
  <c r="CK101"/>
  <c r="CL101"/>
  <c r="CM101"/>
  <c r="CN101"/>
  <c r="CF102"/>
  <c r="CG102"/>
  <c r="CH102"/>
  <c r="CI102"/>
  <c r="CJ102"/>
  <c r="CK102"/>
  <c r="CL102"/>
  <c r="CM102"/>
  <c r="CN102"/>
  <c r="CF103"/>
  <c r="CG103"/>
  <c r="CH103"/>
  <c r="CI103"/>
  <c r="CJ103"/>
  <c r="CK103"/>
  <c r="CL103"/>
  <c r="CM103"/>
  <c r="CN103"/>
  <c r="CF104"/>
  <c r="CG104"/>
  <c r="CH104"/>
  <c r="CI104"/>
  <c r="CJ104"/>
  <c r="CK104"/>
  <c r="CL104"/>
  <c r="CM104"/>
  <c r="CN104"/>
  <c r="CF105"/>
  <c r="CG105"/>
  <c r="CH105"/>
  <c r="CI105"/>
  <c r="CJ105"/>
  <c r="CK105"/>
  <c r="CL105"/>
  <c r="CM105"/>
  <c r="CN105"/>
  <c r="CF106"/>
  <c r="CG106"/>
  <c r="CH106"/>
  <c r="CI106"/>
  <c r="CJ106"/>
  <c r="CK106"/>
  <c r="CL106"/>
  <c r="CM106"/>
  <c r="CN106"/>
  <c r="CF107"/>
  <c r="CG107"/>
  <c r="CH107"/>
  <c r="CI107"/>
  <c r="CJ107"/>
  <c r="CK107"/>
  <c r="CL107"/>
  <c r="CM107"/>
  <c r="CN107"/>
  <c r="CF108"/>
  <c r="CG108"/>
  <c r="CH108"/>
  <c r="CI108"/>
  <c r="CJ108"/>
  <c r="CK108"/>
  <c r="CL108"/>
  <c r="CM108"/>
  <c r="CN108"/>
  <c r="CP59"/>
  <c r="CD61"/>
  <c r="CD62"/>
  <c r="CD63"/>
  <c r="CD64"/>
  <c r="CD65"/>
  <c r="CD66"/>
  <c r="CD67"/>
  <c r="CD68"/>
  <c r="CD69"/>
  <c r="CD70"/>
  <c r="CD71"/>
  <c r="CD73"/>
  <c r="CD74"/>
  <c r="CD76"/>
  <c r="CD77"/>
  <c r="CD78"/>
  <c r="CD79"/>
  <c r="CD80"/>
  <c r="CD81"/>
  <c r="CD82"/>
  <c r="CD83"/>
  <c r="CD84"/>
  <c r="CD85"/>
  <c r="CD86"/>
  <c r="CD87"/>
  <c r="CD88"/>
  <c r="CD89"/>
  <c r="CD90"/>
  <c r="CD91"/>
  <c r="CD92"/>
  <c r="CD93"/>
  <c r="CD94"/>
  <c r="CD95"/>
  <c r="CD96"/>
  <c r="CD97"/>
  <c r="CD98"/>
  <c r="CD99"/>
  <c r="CD100"/>
  <c r="CD101"/>
  <c r="CD102"/>
  <c r="CD103"/>
  <c r="CD104"/>
  <c r="CD105"/>
  <c r="CD106"/>
  <c r="CD107"/>
  <c r="CD108"/>
  <c r="CA108"/>
  <c r="BZ108"/>
  <c r="BY108"/>
  <c r="BX108"/>
  <c r="BW108"/>
  <c r="BV108"/>
  <c r="BU108"/>
  <c r="BT108"/>
  <c r="BS108"/>
  <c r="BN108"/>
  <c r="BM108"/>
  <c r="BL108"/>
  <c r="BK108"/>
  <c r="BJ108"/>
  <c r="BI108"/>
  <c r="BH108"/>
  <c r="BG108"/>
  <c r="BF108"/>
  <c r="CA107"/>
  <c r="BZ107"/>
  <c r="BY107"/>
  <c r="BX107"/>
  <c r="BW107"/>
  <c r="BV107"/>
  <c r="BU107"/>
  <c r="BT107"/>
  <c r="BS107"/>
  <c r="BN107"/>
  <c r="BM107"/>
  <c r="BL107"/>
  <c r="BK107"/>
  <c r="BJ107"/>
  <c r="BI107"/>
  <c r="BH107"/>
  <c r="BG107"/>
  <c r="BF107"/>
  <c r="CA106"/>
  <c r="BZ106"/>
  <c r="BY106"/>
  <c r="BX106"/>
  <c r="BW106"/>
  <c r="BV106"/>
  <c r="BU106"/>
  <c r="BT106"/>
  <c r="BS106"/>
  <c r="BN106"/>
  <c r="BM106"/>
  <c r="BL106"/>
  <c r="BK106"/>
  <c r="BJ106"/>
  <c r="BI106"/>
  <c r="BH106"/>
  <c r="BG106"/>
  <c r="BF106"/>
  <c r="CA105"/>
  <c r="BZ105"/>
  <c r="BY105"/>
  <c r="BX105"/>
  <c r="BW105"/>
  <c r="BV105"/>
  <c r="BU105"/>
  <c r="BT105"/>
  <c r="BS105"/>
  <c r="BN105"/>
  <c r="BM105"/>
  <c r="BL105"/>
  <c r="BK105"/>
  <c r="BJ105"/>
  <c r="BI105"/>
  <c r="BH105"/>
  <c r="BG105"/>
  <c r="BF105"/>
  <c r="CA104"/>
  <c r="BZ104"/>
  <c r="BY104"/>
  <c r="BX104"/>
  <c r="BW104"/>
  <c r="BV104"/>
  <c r="BU104"/>
  <c r="BT104"/>
  <c r="BS104"/>
  <c r="BN104"/>
  <c r="BM104"/>
  <c r="BL104"/>
  <c r="BK104"/>
  <c r="BJ104"/>
  <c r="BI104"/>
  <c r="BH104"/>
  <c r="BG104"/>
  <c r="BF104"/>
  <c r="CA103"/>
  <c r="BZ103"/>
  <c r="BY103"/>
  <c r="BX103"/>
  <c r="BW103"/>
  <c r="BV103"/>
  <c r="BU103"/>
  <c r="BT103"/>
  <c r="BS103"/>
  <c r="BN103"/>
  <c r="BM103"/>
  <c r="BL103"/>
  <c r="BK103"/>
  <c r="BJ103"/>
  <c r="BI103"/>
  <c r="BH103"/>
  <c r="BG103"/>
  <c r="BF103"/>
  <c r="CA102"/>
  <c r="BZ102"/>
  <c r="BY102"/>
  <c r="BX102"/>
  <c r="BW102"/>
  <c r="BV102"/>
  <c r="BU102"/>
  <c r="BT102"/>
  <c r="BS102"/>
  <c r="BN102"/>
  <c r="BM102"/>
  <c r="BL102"/>
  <c r="BK102"/>
  <c r="BJ102"/>
  <c r="BI102"/>
  <c r="BH102"/>
  <c r="BG102"/>
  <c r="BF102"/>
  <c r="CA101"/>
  <c r="BZ101"/>
  <c r="BY101"/>
  <c r="BX101"/>
  <c r="BW101"/>
  <c r="BV101"/>
  <c r="BU101"/>
  <c r="BT101"/>
  <c r="BS101"/>
  <c r="BN101"/>
  <c r="BM101"/>
  <c r="BL101"/>
  <c r="BK101"/>
  <c r="BJ101"/>
  <c r="BI101"/>
  <c r="BH101"/>
  <c r="BG101"/>
  <c r="BF101"/>
  <c r="CA100"/>
  <c r="BZ100"/>
  <c r="BY100"/>
  <c r="BX100"/>
  <c r="BW100"/>
  <c r="BV100"/>
  <c r="BU100"/>
  <c r="BT100"/>
  <c r="BS100"/>
  <c r="BN100"/>
  <c r="BM100"/>
  <c r="BL100"/>
  <c r="BK100"/>
  <c r="BJ100"/>
  <c r="BI100"/>
  <c r="BH100"/>
  <c r="BG100"/>
  <c r="BF100"/>
  <c r="CA99"/>
  <c r="BZ99"/>
  <c r="BY99"/>
  <c r="BX99"/>
  <c r="BW99"/>
  <c r="BV99"/>
  <c r="BU99"/>
  <c r="BT99"/>
  <c r="BS99"/>
  <c r="BN99"/>
  <c r="BM99"/>
  <c r="BL99"/>
  <c r="BK99"/>
  <c r="BJ99"/>
  <c r="BI99"/>
  <c r="BH99"/>
  <c r="BG99"/>
  <c r="BF99"/>
  <c r="CA98"/>
  <c r="BZ98"/>
  <c r="BY98"/>
  <c r="BX98"/>
  <c r="BW98"/>
  <c r="BV98"/>
  <c r="BU98"/>
  <c r="BT98"/>
  <c r="BS98"/>
  <c r="BN98"/>
  <c r="BM98"/>
  <c r="BL98"/>
  <c r="BK98"/>
  <c r="BJ98"/>
  <c r="BI98"/>
  <c r="BH98"/>
  <c r="BG98"/>
  <c r="BF98"/>
  <c r="CA97"/>
  <c r="BZ97"/>
  <c r="BY97"/>
  <c r="BX97"/>
  <c r="BW97"/>
  <c r="BV97"/>
  <c r="BU97"/>
  <c r="BT97"/>
  <c r="BS97"/>
  <c r="BN97"/>
  <c r="BM97"/>
  <c r="BL97"/>
  <c r="BK97"/>
  <c r="BJ97"/>
  <c r="BI97"/>
  <c r="BH97"/>
  <c r="BG97"/>
  <c r="BF97"/>
  <c r="CA96"/>
  <c r="BZ96"/>
  <c r="BY96"/>
  <c r="BX96"/>
  <c r="BW96"/>
  <c r="BV96"/>
  <c r="BU96"/>
  <c r="BT96"/>
  <c r="BS96"/>
  <c r="BN96"/>
  <c r="BM96"/>
  <c r="BL96"/>
  <c r="BK96"/>
  <c r="BJ96"/>
  <c r="BI96"/>
  <c r="BH96"/>
  <c r="BG96"/>
  <c r="BF96"/>
  <c r="CA95"/>
  <c r="BZ95"/>
  <c r="BY95"/>
  <c r="BX95"/>
  <c r="BW95"/>
  <c r="BV95"/>
  <c r="BU95"/>
  <c r="BT95"/>
  <c r="BS95"/>
  <c r="BN95"/>
  <c r="BM95"/>
  <c r="BL95"/>
  <c r="BK95"/>
  <c r="BJ95"/>
  <c r="BI95"/>
  <c r="BH95"/>
  <c r="BG95"/>
  <c r="BF95"/>
  <c r="CA94"/>
  <c r="BZ94"/>
  <c r="BY94"/>
  <c r="BX94"/>
  <c r="BW94"/>
  <c r="BV94"/>
  <c r="BU94"/>
  <c r="BT94"/>
  <c r="BS94"/>
  <c r="BN94"/>
  <c r="BM94"/>
  <c r="BL94"/>
  <c r="BK94"/>
  <c r="BJ94"/>
  <c r="BI94"/>
  <c r="BH94"/>
  <c r="BG94"/>
  <c r="BF94"/>
  <c r="CA93"/>
  <c r="BZ93"/>
  <c r="BY93"/>
  <c r="BX93"/>
  <c r="BW93"/>
  <c r="BV93"/>
  <c r="BU93"/>
  <c r="BT93"/>
  <c r="BS93"/>
  <c r="BN93"/>
  <c r="BM93"/>
  <c r="BL93"/>
  <c r="BK93"/>
  <c r="BJ93"/>
  <c r="BI93"/>
  <c r="BH93"/>
  <c r="BG93"/>
  <c r="BF93"/>
  <c r="CA92"/>
  <c r="BZ92"/>
  <c r="BY92"/>
  <c r="BX92"/>
  <c r="BW92"/>
  <c r="BV92"/>
  <c r="BU92"/>
  <c r="BT92"/>
  <c r="BS92"/>
  <c r="BN92"/>
  <c r="BM92"/>
  <c r="BL92"/>
  <c r="BK92"/>
  <c r="BJ92"/>
  <c r="BI92"/>
  <c r="BH92"/>
  <c r="BG92"/>
  <c r="BF92"/>
  <c r="CA91"/>
  <c r="BZ91"/>
  <c r="BY91"/>
  <c r="BX91"/>
  <c r="BW91"/>
  <c r="BV91"/>
  <c r="BU91"/>
  <c r="BT91"/>
  <c r="BS91"/>
  <c r="BN91"/>
  <c r="BM91"/>
  <c r="BL91"/>
  <c r="BK91"/>
  <c r="BJ91"/>
  <c r="BI91"/>
  <c r="BH91"/>
  <c r="BG91"/>
  <c r="BF91"/>
  <c r="CA90"/>
  <c r="BZ90"/>
  <c r="BY90"/>
  <c r="BX90"/>
  <c r="BW90"/>
  <c r="BV90"/>
  <c r="BU90"/>
  <c r="BT90"/>
  <c r="BS90"/>
  <c r="BN90"/>
  <c r="BM90"/>
  <c r="BL90"/>
  <c r="BK90"/>
  <c r="BJ90"/>
  <c r="BI90"/>
  <c r="BH90"/>
  <c r="BG90"/>
  <c r="BF90"/>
  <c r="CA89"/>
  <c r="BZ89"/>
  <c r="BY89"/>
  <c r="BX89"/>
  <c r="BW89"/>
  <c r="BV89"/>
  <c r="BU89"/>
  <c r="BT89"/>
  <c r="BS89"/>
  <c r="BN89"/>
  <c r="BM89"/>
  <c r="BL89"/>
  <c r="BK89"/>
  <c r="BJ89"/>
  <c r="BI89"/>
  <c r="BH89"/>
  <c r="BG89"/>
  <c r="BF89"/>
  <c r="CA88"/>
  <c r="BZ88"/>
  <c r="BY88"/>
  <c r="BX88"/>
  <c r="BW88"/>
  <c r="BV88"/>
  <c r="BU88"/>
  <c r="BT88"/>
  <c r="BS88"/>
  <c r="BN88"/>
  <c r="BM88"/>
  <c r="BL88"/>
  <c r="BK88"/>
  <c r="BJ88"/>
  <c r="BI88"/>
  <c r="BH88"/>
  <c r="BG88"/>
  <c r="BF88"/>
  <c r="CA87"/>
  <c r="BZ87"/>
  <c r="BY87"/>
  <c r="BX87"/>
  <c r="BW87"/>
  <c r="BV87"/>
  <c r="BU87"/>
  <c r="BT87"/>
  <c r="BS87"/>
  <c r="BN87"/>
  <c r="BM87"/>
  <c r="BL87"/>
  <c r="BK87"/>
  <c r="BJ87"/>
  <c r="BI87"/>
  <c r="BH87"/>
  <c r="BG87"/>
  <c r="BF87"/>
  <c r="CA86"/>
  <c r="BZ86"/>
  <c r="BY86"/>
  <c r="BX86"/>
  <c r="BW86"/>
  <c r="BV86"/>
  <c r="BU86"/>
  <c r="BT86"/>
  <c r="BS86"/>
  <c r="BN86"/>
  <c r="BM86"/>
  <c r="BL86"/>
  <c r="BK86"/>
  <c r="BJ86"/>
  <c r="BI86"/>
  <c r="BH86"/>
  <c r="BG86"/>
  <c r="BF86"/>
  <c r="CA85"/>
  <c r="BZ85"/>
  <c r="BY85"/>
  <c r="BX85"/>
  <c r="BW85"/>
  <c r="BV85"/>
  <c r="BU85"/>
  <c r="BT85"/>
  <c r="BS85"/>
  <c r="BN85"/>
  <c r="BM85"/>
  <c r="BL85"/>
  <c r="BK85"/>
  <c r="BJ85"/>
  <c r="BI85"/>
  <c r="BH85"/>
  <c r="BG85"/>
  <c r="BF85"/>
  <c r="CA84"/>
  <c r="BZ84"/>
  <c r="BY84"/>
  <c r="BX84"/>
  <c r="BW84"/>
  <c r="BV84"/>
  <c r="BU84"/>
  <c r="BT84"/>
  <c r="BS84"/>
  <c r="BN84"/>
  <c r="BM84"/>
  <c r="BL84"/>
  <c r="BK84"/>
  <c r="BJ84"/>
  <c r="BI84"/>
  <c r="BH84"/>
  <c r="BG84"/>
  <c r="BF84"/>
  <c r="CA83"/>
  <c r="BZ83"/>
  <c r="BY83"/>
  <c r="BX83"/>
  <c r="BW83"/>
  <c r="BV83"/>
  <c r="BU83"/>
  <c r="BT83"/>
  <c r="BS83"/>
  <c r="BN83"/>
  <c r="BM83"/>
  <c r="BL83"/>
  <c r="BK83"/>
  <c r="BJ83"/>
  <c r="BI83"/>
  <c r="BH83"/>
  <c r="BG83"/>
  <c r="BF83"/>
  <c r="CA82"/>
  <c r="BZ82"/>
  <c r="BY82"/>
  <c r="BX82"/>
  <c r="BW82"/>
  <c r="BV82"/>
  <c r="BU82"/>
  <c r="BT82"/>
  <c r="BS82"/>
  <c r="BN82"/>
  <c r="BM82"/>
  <c r="BL82"/>
  <c r="BK82"/>
  <c r="BJ82"/>
  <c r="BI82"/>
  <c r="BH82"/>
  <c r="BG82"/>
  <c r="BF82"/>
  <c r="CA81"/>
  <c r="BZ81"/>
  <c r="BY81"/>
  <c r="BX81"/>
  <c r="BW81"/>
  <c r="BV81"/>
  <c r="BU81"/>
  <c r="BT81"/>
  <c r="BS81"/>
  <c r="BN81"/>
  <c r="BM81"/>
  <c r="BL81"/>
  <c r="BK81"/>
  <c r="BJ81"/>
  <c r="BI81"/>
  <c r="BH81"/>
  <c r="BG81"/>
  <c r="BF81"/>
  <c r="CA80"/>
  <c r="BZ80"/>
  <c r="BY80"/>
  <c r="BX80"/>
  <c r="BW80"/>
  <c r="BV80"/>
  <c r="BU80"/>
  <c r="BT80"/>
  <c r="BS80"/>
  <c r="BN80"/>
  <c r="BM80"/>
  <c r="BL80"/>
  <c r="BK80"/>
  <c r="BJ80"/>
  <c r="BI80"/>
  <c r="BH80"/>
  <c r="BG80"/>
  <c r="BF80"/>
  <c r="CA79"/>
  <c r="BZ79"/>
  <c r="BY79"/>
  <c r="BX79"/>
  <c r="BW79"/>
  <c r="BV79"/>
  <c r="BU79"/>
  <c r="BT79"/>
  <c r="BS79"/>
  <c r="BN79"/>
  <c r="BM79"/>
  <c r="BL79"/>
  <c r="BK79"/>
  <c r="BJ79"/>
  <c r="BI79"/>
  <c r="BH79"/>
  <c r="BG79"/>
  <c r="BF79"/>
  <c r="CA78"/>
  <c r="BZ78"/>
  <c r="BY78"/>
  <c r="BX78"/>
  <c r="BW78"/>
  <c r="BV78"/>
  <c r="BU78"/>
  <c r="BT78"/>
  <c r="BS78"/>
  <c r="BN78"/>
  <c r="BM78"/>
  <c r="BL78"/>
  <c r="BK78"/>
  <c r="BJ78"/>
  <c r="BI78"/>
  <c r="BH78"/>
  <c r="BG78"/>
  <c r="BF78"/>
  <c r="CA77"/>
  <c r="BZ77"/>
  <c r="BY77"/>
  <c r="BX77"/>
  <c r="BW77"/>
  <c r="BV77"/>
  <c r="BU77"/>
  <c r="BT77"/>
  <c r="BS77"/>
  <c r="BN77"/>
  <c r="BM77"/>
  <c r="BL77"/>
  <c r="BK77"/>
  <c r="BJ77"/>
  <c r="BI77"/>
  <c r="BH77"/>
  <c r="BG77"/>
  <c r="BF77"/>
  <c r="CA76"/>
  <c r="BZ76"/>
  <c r="BY76"/>
  <c r="BX76"/>
  <c r="BW76"/>
  <c r="BV76"/>
  <c r="BU76"/>
  <c r="BT76"/>
  <c r="BS76"/>
  <c r="BN76"/>
  <c r="BM76"/>
  <c r="BL76"/>
  <c r="BK76"/>
  <c r="BJ76"/>
  <c r="BI76"/>
  <c r="BH76"/>
  <c r="BG76"/>
  <c r="BF76"/>
  <c r="CA75"/>
  <c r="BZ75"/>
  <c r="BY75"/>
  <c r="BX75"/>
  <c r="BW75"/>
  <c r="BV75"/>
  <c r="BU75"/>
  <c r="BT75"/>
  <c r="BS75"/>
  <c r="BN75"/>
  <c r="BM75"/>
  <c r="BL75"/>
  <c r="BK75"/>
  <c r="BJ75"/>
  <c r="BI75"/>
  <c r="BH75"/>
  <c r="BG75"/>
  <c r="BF75"/>
  <c r="CA74"/>
  <c r="BZ74"/>
  <c r="BY74"/>
  <c r="BX74"/>
  <c r="BW74"/>
  <c r="BV74"/>
  <c r="BU74"/>
  <c r="BT74"/>
  <c r="BS74"/>
  <c r="BN74"/>
  <c r="BM74"/>
  <c r="BL74"/>
  <c r="BK74"/>
  <c r="BJ74"/>
  <c r="BI74"/>
  <c r="BH74"/>
  <c r="BG74"/>
  <c r="BF74"/>
  <c r="CA73"/>
  <c r="BZ73"/>
  <c r="BY73"/>
  <c r="BX73"/>
  <c r="BW73"/>
  <c r="BV73"/>
  <c r="BU73"/>
  <c r="BT73"/>
  <c r="BS73"/>
  <c r="BN73"/>
  <c r="BM73"/>
  <c r="BL73"/>
  <c r="BK73"/>
  <c r="BJ73"/>
  <c r="BI73"/>
  <c r="BH73"/>
  <c r="BG73"/>
  <c r="BF73"/>
  <c r="CA72"/>
  <c r="BZ72"/>
  <c r="BY72"/>
  <c r="BX72"/>
  <c r="BW72"/>
  <c r="BV72"/>
  <c r="BU72"/>
  <c r="BT72"/>
  <c r="BS72"/>
  <c r="BN72"/>
  <c r="BM72"/>
  <c r="BL72"/>
  <c r="BK72"/>
  <c r="BJ72"/>
  <c r="BI72"/>
  <c r="BH72"/>
  <c r="BG72"/>
  <c r="BF72"/>
  <c r="CA71"/>
  <c r="BZ71"/>
  <c r="BY71"/>
  <c r="BX71"/>
  <c r="BW71"/>
  <c r="BV71"/>
  <c r="BU71"/>
  <c r="BT71"/>
  <c r="BS71"/>
  <c r="BN71"/>
  <c r="BM71"/>
  <c r="BL71"/>
  <c r="BK71"/>
  <c r="BJ71"/>
  <c r="BI71"/>
  <c r="BH71"/>
  <c r="BG71"/>
  <c r="BF71"/>
  <c r="CA70"/>
  <c r="BZ70"/>
  <c r="BY70"/>
  <c r="BX70"/>
  <c r="BW70"/>
  <c r="BV70"/>
  <c r="BU70"/>
  <c r="BT70"/>
  <c r="BS70"/>
  <c r="BN70"/>
  <c r="BM70"/>
  <c r="BL70"/>
  <c r="BK70"/>
  <c r="BJ70"/>
  <c r="BI70"/>
  <c r="BH70"/>
  <c r="BG70"/>
  <c r="BF70"/>
  <c r="CA69"/>
  <c r="BZ69"/>
  <c r="BY69"/>
  <c r="BX69"/>
  <c r="BW69"/>
  <c r="BV69"/>
  <c r="BU69"/>
  <c r="BT69"/>
  <c r="BS69"/>
  <c r="BN69"/>
  <c r="BM69"/>
  <c r="BL69"/>
  <c r="BK69"/>
  <c r="BJ69"/>
  <c r="BI69"/>
  <c r="BH69"/>
  <c r="BG69"/>
  <c r="BF69"/>
  <c r="CA68"/>
  <c r="BZ68"/>
  <c r="BY68"/>
  <c r="BX68"/>
  <c r="BW68"/>
  <c r="BV68"/>
  <c r="BU68"/>
  <c r="BT68"/>
  <c r="BS68"/>
  <c r="BN68"/>
  <c r="BM68"/>
  <c r="BL68"/>
  <c r="BK68"/>
  <c r="BJ68"/>
  <c r="BI68"/>
  <c r="BH68"/>
  <c r="BG68"/>
  <c r="BF68"/>
  <c r="CA67"/>
  <c r="BZ67"/>
  <c r="BY67"/>
  <c r="BX67"/>
  <c r="BW67"/>
  <c r="BV67"/>
  <c r="BU67"/>
  <c r="BT67"/>
  <c r="BS67"/>
  <c r="BN67"/>
  <c r="BM67"/>
  <c r="BL67"/>
  <c r="BK67"/>
  <c r="BJ67"/>
  <c r="BI67"/>
  <c r="BH67"/>
  <c r="BG67"/>
  <c r="BF67"/>
  <c r="CA66"/>
  <c r="BZ66"/>
  <c r="BY66"/>
  <c r="BX66"/>
  <c r="BW66"/>
  <c r="BV66"/>
  <c r="BU66"/>
  <c r="BT66"/>
  <c r="BS66"/>
  <c r="BN66"/>
  <c r="BM66"/>
  <c r="BL66"/>
  <c r="BK66"/>
  <c r="BJ66"/>
  <c r="BI66"/>
  <c r="BH66"/>
  <c r="BG66"/>
  <c r="BF66"/>
  <c r="CA65"/>
  <c r="BZ65"/>
  <c r="BY65"/>
  <c r="BX65"/>
  <c r="BW65"/>
  <c r="BV65"/>
  <c r="BU65"/>
  <c r="BT65"/>
  <c r="BS65"/>
  <c r="BN65"/>
  <c r="BM65"/>
  <c r="BL65"/>
  <c r="BK65"/>
  <c r="BJ65"/>
  <c r="BI65"/>
  <c r="BH65"/>
  <c r="BG65"/>
  <c r="BF65"/>
  <c r="CA64"/>
  <c r="BZ64"/>
  <c r="BY64"/>
  <c r="BX64"/>
  <c r="BW64"/>
  <c r="BV64"/>
  <c r="BU64"/>
  <c r="BT64"/>
  <c r="BS64"/>
  <c r="BN64"/>
  <c r="BM64"/>
  <c r="BL64"/>
  <c r="BK64"/>
  <c r="BJ64"/>
  <c r="BI64"/>
  <c r="BH64"/>
  <c r="BG64"/>
  <c r="BF64"/>
  <c r="CA63"/>
  <c r="BZ63"/>
  <c r="BY63"/>
  <c r="BX63"/>
  <c r="BW63"/>
  <c r="BV63"/>
  <c r="BU63"/>
  <c r="BT63"/>
  <c r="BS63"/>
  <c r="BN63"/>
  <c r="BM63"/>
  <c r="BL63"/>
  <c r="BK63"/>
  <c r="BJ63"/>
  <c r="BI63"/>
  <c r="BH63"/>
  <c r="BG63"/>
  <c r="BF63"/>
  <c r="CA62"/>
  <c r="BZ62"/>
  <c r="BY62"/>
  <c r="BX62"/>
  <c r="BW62"/>
  <c r="BV62"/>
  <c r="BU62"/>
  <c r="BT62"/>
  <c r="BS62"/>
  <c r="BN62"/>
  <c r="BM62"/>
  <c r="BL62"/>
  <c r="BK62"/>
  <c r="BJ62"/>
  <c r="BI62"/>
  <c r="BH62"/>
  <c r="BG62"/>
  <c r="BF62"/>
  <c r="CA61"/>
  <c r="BZ61"/>
  <c r="BY61"/>
  <c r="BX61"/>
  <c r="BW61"/>
  <c r="BV61"/>
  <c r="BU61"/>
  <c r="BT61"/>
  <c r="BS61"/>
  <c r="BN61"/>
  <c r="BM61"/>
  <c r="BL61"/>
  <c r="BK61"/>
  <c r="BJ61"/>
  <c r="BI61"/>
  <c r="BH61"/>
  <c r="BG61"/>
  <c r="BF61"/>
  <c r="CA60"/>
  <c r="BZ60"/>
  <c r="BY60"/>
  <c r="BX60"/>
  <c r="BW60"/>
  <c r="BV60"/>
  <c r="BU60"/>
  <c r="BT60"/>
  <c r="BS60"/>
  <c r="BN60"/>
  <c r="BM60"/>
  <c r="BL60"/>
  <c r="BK60"/>
  <c r="BJ60"/>
  <c r="BI60"/>
  <c r="BH60"/>
  <c r="BG60"/>
  <c r="BF60"/>
  <c r="DA59"/>
  <c r="CZ59"/>
  <c r="CY59"/>
  <c r="CX59"/>
  <c r="CW59"/>
  <c r="CV59"/>
  <c r="CU59"/>
  <c r="CT59"/>
  <c r="CS59"/>
  <c r="CN59"/>
  <c r="CM59"/>
  <c r="CL59"/>
  <c r="CK59"/>
  <c r="CJ59"/>
  <c r="CI59"/>
  <c r="CH59"/>
  <c r="CG59"/>
  <c r="CF59"/>
  <c r="CA59"/>
  <c r="BZ59"/>
  <c r="BY59"/>
  <c r="BX59"/>
  <c r="BW59"/>
  <c r="BV59"/>
  <c r="BU59"/>
  <c r="BT59"/>
  <c r="BS59"/>
  <c r="BN59"/>
  <c r="BM59"/>
  <c r="BL59"/>
  <c r="BK59"/>
  <c r="BJ59"/>
  <c r="BI59"/>
  <c r="BH59"/>
  <c r="BG59"/>
  <c r="BF59"/>
  <c r="CD60"/>
  <c r="CD59"/>
  <c r="CD72" s="1"/>
  <c r="BQ61"/>
  <c r="BQ62"/>
  <c r="BQ63"/>
  <c r="BQ64"/>
  <c r="BQ66"/>
  <c r="BQ67"/>
  <c r="BQ69"/>
  <c r="BQ70"/>
  <c r="BQ71"/>
  <c r="BQ72"/>
  <c r="BQ73"/>
  <c r="BQ75"/>
  <c r="BQ76"/>
  <c r="BQ77"/>
  <c r="BQ78"/>
  <c r="BQ79"/>
  <c r="BQ80"/>
  <c r="BQ81"/>
  <c r="BQ82"/>
  <c r="BQ83"/>
  <c r="BQ84"/>
  <c r="BQ85"/>
  <c r="BQ65"/>
  <c r="CC86"/>
  <c r="BQ86" s="1"/>
  <c r="CC87"/>
  <c r="BQ87" s="1"/>
  <c r="CC88"/>
  <c r="BQ88" s="1"/>
  <c r="CC89"/>
  <c r="BQ89" s="1"/>
  <c r="CC90"/>
  <c r="BQ90" s="1"/>
  <c r="CC91"/>
  <c r="BQ91" s="1"/>
  <c r="CC92"/>
  <c r="BQ92" s="1"/>
  <c r="CC93"/>
  <c r="BQ93" s="1"/>
  <c r="CC94"/>
  <c r="BQ94" s="1"/>
  <c r="CC95"/>
  <c r="BQ95" s="1"/>
  <c r="CC96"/>
  <c r="BQ96" s="1"/>
  <c r="CC97"/>
  <c r="BQ97" s="1"/>
  <c r="CC98"/>
  <c r="BQ98" s="1"/>
  <c r="CC99"/>
  <c r="BQ99" s="1"/>
  <c r="CC100"/>
  <c r="BQ100" s="1"/>
  <c r="CC101"/>
  <c r="BQ101" s="1"/>
  <c r="CC102"/>
  <c r="BQ102" s="1"/>
  <c r="CC103"/>
  <c r="BQ103" s="1"/>
  <c r="CC104"/>
  <c r="BQ104" s="1"/>
  <c r="CC105"/>
  <c r="BQ105" s="1"/>
  <c r="CC106"/>
  <c r="BQ106" s="1"/>
  <c r="CC107"/>
  <c r="BQ107" s="1"/>
  <c r="CC108"/>
  <c r="BQ108" s="1"/>
  <c r="BQ60"/>
  <c r="BQ59"/>
  <c r="BQ68" s="1"/>
  <c r="BP60"/>
  <c r="BP61"/>
  <c r="BD61" s="1"/>
  <c r="BP62"/>
  <c r="BD62" s="1"/>
  <c r="BP63"/>
  <c r="BP64"/>
  <c r="BD64" s="1"/>
  <c r="BP65"/>
  <c r="BD65" s="1"/>
  <c r="BP66"/>
  <c r="BD66" s="1"/>
  <c r="BP67"/>
  <c r="BD67" s="1"/>
  <c r="BP68"/>
  <c r="BD68" s="1"/>
  <c r="BP69"/>
  <c r="BD69" s="1"/>
  <c r="BP70"/>
  <c r="BD70" s="1"/>
  <c r="BP71"/>
  <c r="BD71" s="1"/>
  <c r="BP72"/>
  <c r="BD72" s="1"/>
  <c r="BP73"/>
  <c r="BD73" s="1"/>
  <c r="BP74"/>
  <c r="BD74" s="1"/>
  <c r="BP75"/>
  <c r="BD75" s="1"/>
  <c r="BP76"/>
  <c r="BD76" s="1"/>
  <c r="BP77"/>
  <c r="BD77" s="1"/>
  <c r="BP78"/>
  <c r="BD78" s="1"/>
  <c r="BP79"/>
  <c r="BD79" s="1"/>
  <c r="BP80"/>
  <c r="BD80" s="1"/>
  <c r="BP81"/>
  <c r="BD81" s="1"/>
  <c r="BP82"/>
  <c r="BD82" s="1"/>
  <c r="BP83"/>
  <c r="BD83" s="1"/>
  <c r="BP84"/>
  <c r="BD84" s="1"/>
  <c r="BP85"/>
  <c r="BD85" s="1"/>
  <c r="BP86"/>
  <c r="BD86" s="1"/>
  <c r="BP87"/>
  <c r="BD87" s="1"/>
  <c r="BP88"/>
  <c r="BD88" s="1"/>
  <c r="BP89"/>
  <c r="BD89" s="1"/>
  <c r="BP90"/>
  <c r="BD90" s="1"/>
  <c r="BP91"/>
  <c r="BD91" s="1"/>
  <c r="BP92"/>
  <c r="BD92" s="1"/>
  <c r="BP93"/>
  <c r="BD93" s="1"/>
  <c r="BP94"/>
  <c r="BD94" s="1"/>
  <c r="BP95"/>
  <c r="BD95" s="1"/>
  <c r="BP96"/>
  <c r="BD96" s="1"/>
  <c r="BP97"/>
  <c r="BD97" s="1"/>
  <c r="BP98"/>
  <c r="BD98" s="1"/>
  <c r="BP99"/>
  <c r="BD99" s="1"/>
  <c r="BP100"/>
  <c r="BD100" s="1"/>
  <c r="BP101"/>
  <c r="BD101" s="1"/>
  <c r="BP102"/>
  <c r="BD102" s="1"/>
  <c r="BP103"/>
  <c r="BD103" s="1"/>
  <c r="BP104"/>
  <c r="BD104" s="1"/>
  <c r="BP105"/>
  <c r="BD105" s="1"/>
  <c r="BP106"/>
  <c r="BD106" s="1"/>
  <c r="BP107"/>
  <c r="BD107" s="1"/>
  <c r="BP108"/>
  <c r="BD108" s="1"/>
  <c r="BD60"/>
  <c r="BP59"/>
  <c r="BD59" s="1"/>
  <c r="BC60"/>
  <c r="BC61"/>
  <c r="AQ61" s="1"/>
  <c r="BC62"/>
  <c r="AQ62" s="1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59"/>
  <c r="AQ59" s="1"/>
  <c r="AS61"/>
  <c r="AT61"/>
  <c r="AU61"/>
  <c r="AV61"/>
  <c r="AW61"/>
  <c r="AX61"/>
  <c r="AY61"/>
  <c r="AZ61"/>
  <c r="BA61"/>
  <c r="AS62"/>
  <c r="AT62"/>
  <c r="AU62"/>
  <c r="AV62"/>
  <c r="AW62"/>
  <c r="AX62"/>
  <c r="AY62"/>
  <c r="AZ62"/>
  <c r="BA62"/>
  <c r="AQ63"/>
  <c r="AS63"/>
  <c r="AT63"/>
  <c r="AU63"/>
  <c r="AV63"/>
  <c r="AW63"/>
  <c r="AX63"/>
  <c r="AY63"/>
  <c r="AZ63"/>
  <c r="BA63"/>
  <c r="AS64"/>
  <c r="AT64"/>
  <c r="AU64"/>
  <c r="AV64"/>
  <c r="AW64"/>
  <c r="AX64"/>
  <c r="AY64"/>
  <c r="AZ64"/>
  <c r="BA64"/>
  <c r="AS65"/>
  <c r="AT65"/>
  <c r="AU65"/>
  <c r="AV65"/>
  <c r="AW65"/>
  <c r="AX65"/>
  <c r="AY65"/>
  <c r="AZ65"/>
  <c r="BA65"/>
  <c r="AS66"/>
  <c r="AT66"/>
  <c r="AU66"/>
  <c r="AV66"/>
  <c r="AW66"/>
  <c r="AX66"/>
  <c r="AY66"/>
  <c r="AZ66"/>
  <c r="BA66"/>
  <c r="AS67"/>
  <c r="AT67"/>
  <c r="AU67"/>
  <c r="AV67"/>
  <c r="AW67"/>
  <c r="AX67"/>
  <c r="AY67"/>
  <c r="AZ67"/>
  <c r="BA67"/>
  <c r="AS68"/>
  <c r="AT68"/>
  <c r="AU68"/>
  <c r="AV68"/>
  <c r="AW68"/>
  <c r="AX68"/>
  <c r="AY68"/>
  <c r="AZ68"/>
  <c r="BA68"/>
  <c r="AS69"/>
  <c r="AT69"/>
  <c r="AU69"/>
  <c r="AV69"/>
  <c r="AW69"/>
  <c r="AX69"/>
  <c r="AY69"/>
  <c r="AZ69"/>
  <c r="BA69"/>
  <c r="AS70"/>
  <c r="AT70"/>
  <c r="AU70"/>
  <c r="AV70"/>
  <c r="AW70"/>
  <c r="AX70"/>
  <c r="AY70"/>
  <c r="AZ70"/>
  <c r="BA70"/>
  <c r="AS71"/>
  <c r="AT71"/>
  <c r="AU71"/>
  <c r="AV71"/>
  <c r="AW71"/>
  <c r="AX71"/>
  <c r="AY71"/>
  <c r="AZ71"/>
  <c r="BA71"/>
  <c r="AS72"/>
  <c r="AT72"/>
  <c r="AU72"/>
  <c r="AV72"/>
  <c r="AW72"/>
  <c r="AX72"/>
  <c r="AY72"/>
  <c r="AZ72"/>
  <c r="BA72"/>
  <c r="AS73"/>
  <c r="AT73"/>
  <c r="AU73"/>
  <c r="AV73"/>
  <c r="AW73"/>
  <c r="AX73"/>
  <c r="AY73"/>
  <c r="AZ73"/>
  <c r="BA73"/>
  <c r="AS74"/>
  <c r="AT74"/>
  <c r="AU74"/>
  <c r="AV74"/>
  <c r="AW74"/>
  <c r="AX74"/>
  <c r="AY74"/>
  <c r="AZ74"/>
  <c r="BA74"/>
  <c r="AS75"/>
  <c r="AT75"/>
  <c r="AU75"/>
  <c r="AV75"/>
  <c r="AW75"/>
  <c r="AX75"/>
  <c r="AY75"/>
  <c r="AZ75"/>
  <c r="BA75"/>
  <c r="AQ76"/>
  <c r="AS76"/>
  <c r="AT76"/>
  <c r="AU76"/>
  <c r="AV76"/>
  <c r="AW76"/>
  <c r="AX76"/>
  <c r="AY76"/>
  <c r="AZ76"/>
  <c r="BA76"/>
  <c r="AQ77"/>
  <c r="AS77"/>
  <c r="AT77"/>
  <c r="AU77"/>
  <c r="AV77"/>
  <c r="AW77"/>
  <c r="AX77"/>
  <c r="AY77"/>
  <c r="AZ77"/>
  <c r="BA77"/>
  <c r="AQ78"/>
  <c r="AS78"/>
  <c r="AT78"/>
  <c r="AU78"/>
  <c r="AV78"/>
  <c r="AW78"/>
  <c r="AX78"/>
  <c r="AY78"/>
  <c r="AZ78"/>
  <c r="BA78"/>
  <c r="AQ79"/>
  <c r="AS79"/>
  <c r="AT79"/>
  <c r="AU79"/>
  <c r="AV79"/>
  <c r="AW79"/>
  <c r="AX79"/>
  <c r="AY79"/>
  <c r="AZ79"/>
  <c r="BA79"/>
  <c r="AQ80"/>
  <c r="AS80"/>
  <c r="AT80"/>
  <c r="AU80"/>
  <c r="AV80"/>
  <c r="AW80"/>
  <c r="AX80"/>
  <c r="AY80"/>
  <c r="AZ80"/>
  <c r="BA80"/>
  <c r="AQ81"/>
  <c r="AS81"/>
  <c r="AT81"/>
  <c r="AU81"/>
  <c r="AV81"/>
  <c r="AW81"/>
  <c r="AX81"/>
  <c r="AY81"/>
  <c r="AZ81"/>
  <c r="BA81"/>
  <c r="AQ82"/>
  <c r="AS82"/>
  <c r="AT82"/>
  <c r="AU82"/>
  <c r="AV82"/>
  <c r="AW82"/>
  <c r="AX82"/>
  <c r="AY82"/>
  <c r="AZ82"/>
  <c r="BA82"/>
  <c r="AQ83"/>
  <c r="AS83"/>
  <c r="AT83"/>
  <c r="AU83"/>
  <c r="AV83"/>
  <c r="AW83"/>
  <c r="AX83"/>
  <c r="AY83"/>
  <c r="AZ83"/>
  <c r="BA83"/>
  <c r="AQ84"/>
  <c r="AS84"/>
  <c r="AT84"/>
  <c r="AU84"/>
  <c r="AV84"/>
  <c r="AW84"/>
  <c r="AX84"/>
  <c r="AY84"/>
  <c r="AZ84"/>
  <c r="BA84"/>
  <c r="AQ85"/>
  <c r="AS85"/>
  <c r="AT85"/>
  <c r="AU85"/>
  <c r="AV85"/>
  <c r="AW85"/>
  <c r="AX85"/>
  <c r="AY85"/>
  <c r="AZ85"/>
  <c r="BA85"/>
  <c r="AQ86"/>
  <c r="AS86"/>
  <c r="AT86"/>
  <c r="AU86"/>
  <c r="AV86"/>
  <c r="AW86"/>
  <c r="AX86"/>
  <c r="AY86"/>
  <c r="AZ86"/>
  <c r="BA86"/>
  <c r="AQ87"/>
  <c r="AS87"/>
  <c r="AT87"/>
  <c r="AU87"/>
  <c r="AV87"/>
  <c r="AW87"/>
  <c r="AX87"/>
  <c r="AY87"/>
  <c r="AZ87"/>
  <c r="BA87"/>
  <c r="AQ88"/>
  <c r="AS88"/>
  <c r="AT88"/>
  <c r="AU88"/>
  <c r="AV88"/>
  <c r="AW88"/>
  <c r="AX88"/>
  <c r="AY88"/>
  <c r="AZ88"/>
  <c r="BA88"/>
  <c r="AQ89"/>
  <c r="AS89"/>
  <c r="AT89"/>
  <c r="AU89"/>
  <c r="AV89"/>
  <c r="AW89"/>
  <c r="AX89"/>
  <c r="AY89"/>
  <c r="AZ89"/>
  <c r="BA89"/>
  <c r="AQ90"/>
  <c r="AS90"/>
  <c r="AT90"/>
  <c r="AU90"/>
  <c r="AV90"/>
  <c r="AW90"/>
  <c r="AX90"/>
  <c r="AY90"/>
  <c r="AZ90"/>
  <c r="BA90"/>
  <c r="AQ91"/>
  <c r="AS91"/>
  <c r="AT91"/>
  <c r="AU91"/>
  <c r="AV91"/>
  <c r="AW91"/>
  <c r="AX91"/>
  <c r="AY91"/>
  <c r="AZ91"/>
  <c r="BA91"/>
  <c r="AQ92"/>
  <c r="AS92"/>
  <c r="AT92"/>
  <c r="AU92"/>
  <c r="AV92"/>
  <c r="AW92"/>
  <c r="AX92"/>
  <c r="AY92"/>
  <c r="AZ92"/>
  <c r="BA92"/>
  <c r="AQ93"/>
  <c r="AS93"/>
  <c r="AT93"/>
  <c r="AU93"/>
  <c r="AV93"/>
  <c r="AW93"/>
  <c r="AX93"/>
  <c r="AY93"/>
  <c r="AZ93"/>
  <c r="BA93"/>
  <c r="AQ94"/>
  <c r="AS94"/>
  <c r="AT94"/>
  <c r="AU94"/>
  <c r="AV94"/>
  <c r="AW94"/>
  <c r="AX94"/>
  <c r="AY94"/>
  <c r="AZ94"/>
  <c r="BA94"/>
  <c r="AQ95"/>
  <c r="AS95"/>
  <c r="AT95"/>
  <c r="AU95"/>
  <c r="AV95"/>
  <c r="AW95"/>
  <c r="AX95"/>
  <c r="AY95"/>
  <c r="AZ95"/>
  <c r="BA95"/>
  <c r="AQ96"/>
  <c r="AS96"/>
  <c r="AT96"/>
  <c r="AU96"/>
  <c r="AV96"/>
  <c r="AW96"/>
  <c r="AX96"/>
  <c r="AY96"/>
  <c r="AZ96"/>
  <c r="BA96"/>
  <c r="AQ97"/>
  <c r="AS97"/>
  <c r="AT97"/>
  <c r="AU97"/>
  <c r="AV97"/>
  <c r="AW97"/>
  <c r="AX97"/>
  <c r="AY97"/>
  <c r="AZ97"/>
  <c r="BA97"/>
  <c r="AQ98"/>
  <c r="AS98"/>
  <c r="AT98"/>
  <c r="AU98"/>
  <c r="AV98"/>
  <c r="AW98"/>
  <c r="AX98"/>
  <c r="AY98"/>
  <c r="AZ98"/>
  <c r="BA98"/>
  <c r="AQ99"/>
  <c r="AS99"/>
  <c r="AT99"/>
  <c r="AU99"/>
  <c r="AV99"/>
  <c r="AW99"/>
  <c r="AX99"/>
  <c r="AY99"/>
  <c r="AZ99"/>
  <c r="BA99"/>
  <c r="AQ100"/>
  <c r="AS100"/>
  <c r="AT100"/>
  <c r="AU100"/>
  <c r="AV100"/>
  <c r="AW100"/>
  <c r="AX100"/>
  <c r="AY100"/>
  <c r="AZ100"/>
  <c r="BA100"/>
  <c r="AQ101"/>
  <c r="AS101"/>
  <c r="AT101"/>
  <c r="AU101"/>
  <c r="AV101"/>
  <c r="AW101"/>
  <c r="AX101"/>
  <c r="AY101"/>
  <c r="AZ101"/>
  <c r="BA101"/>
  <c r="AQ102"/>
  <c r="AS102"/>
  <c r="AT102"/>
  <c r="AU102"/>
  <c r="AV102"/>
  <c r="AW102"/>
  <c r="AX102"/>
  <c r="AY102"/>
  <c r="AZ102"/>
  <c r="BA102"/>
  <c r="AQ103"/>
  <c r="AS103"/>
  <c r="AT103"/>
  <c r="AU103"/>
  <c r="AV103"/>
  <c r="AW103"/>
  <c r="AX103"/>
  <c r="AY103"/>
  <c r="AZ103"/>
  <c r="BA103"/>
  <c r="AQ104"/>
  <c r="AS104"/>
  <c r="AT104"/>
  <c r="AU104"/>
  <c r="AV104"/>
  <c r="AW104"/>
  <c r="AX104"/>
  <c r="AY104"/>
  <c r="AZ104"/>
  <c r="BA104"/>
  <c r="AQ105"/>
  <c r="AS105"/>
  <c r="AT105"/>
  <c r="AU105"/>
  <c r="AV105"/>
  <c r="AW105"/>
  <c r="AX105"/>
  <c r="AY105"/>
  <c r="AZ105"/>
  <c r="BA105"/>
  <c r="AQ106"/>
  <c r="AS106"/>
  <c r="AT106"/>
  <c r="AU106"/>
  <c r="AV106"/>
  <c r="AW106"/>
  <c r="AX106"/>
  <c r="AY106"/>
  <c r="AZ106"/>
  <c r="BA106"/>
  <c r="AQ107"/>
  <c r="AS107"/>
  <c r="AT107"/>
  <c r="AU107"/>
  <c r="AV107"/>
  <c r="AW107"/>
  <c r="AX107"/>
  <c r="AY107"/>
  <c r="AZ107"/>
  <c r="BA107"/>
  <c r="AQ108"/>
  <c r="AS108"/>
  <c r="AT108"/>
  <c r="AU108"/>
  <c r="AV108"/>
  <c r="AW108"/>
  <c r="AX108"/>
  <c r="AY108"/>
  <c r="AZ108"/>
  <c r="BA108"/>
  <c r="AS60"/>
  <c r="AT60"/>
  <c r="AU60"/>
  <c r="AV60"/>
  <c r="AW60"/>
  <c r="AX60"/>
  <c r="AY60"/>
  <c r="AZ60"/>
  <c r="BA60"/>
  <c r="BA59"/>
  <c r="AZ59"/>
  <c r="AY59"/>
  <c r="AX59"/>
  <c r="AW59"/>
  <c r="AV59"/>
  <c r="AU59"/>
  <c r="AT59"/>
  <c r="AS59"/>
  <c r="AQ60"/>
  <c r="AG60"/>
  <c r="AH60"/>
  <c r="AI60"/>
  <c r="AJ60"/>
  <c r="AK60"/>
  <c r="AL60"/>
  <c r="X13" i="4" s="1"/>
  <c r="AM60" i="1"/>
  <c r="AN60"/>
  <c r="AG61"/>
  <c r="AH61"/>
  <c r="AI61"/>
  <c r="AJ61"/>
  <c r="AK61"/>
  <c r="AL61"/>
  <c r="AM61"/>
  <c r="AG62"/>
  <c r="AH62"/>
  <c r="AI62"/>
  <c r="AJ62"/>
  <c r="AK62"/>
  <c r="AL62"/>
  <c r="AM62"/>
  <c r="AN62"/>
  <c r="AG63"/>
  <c r="AH63"/>
  <c r="AI63"/>
  <c r="AJ63"/>
  <c r="AK63"/>
  <c r="AL63"/>
  <c r="AM63"/>
  <c r="AN63"/>
  <c r="AG64"/>
  <c r="AH64"/>
  <c r="AI64"/>
  <c r="AJ64"/>
  <c r="AK64"/>
  <c r="AL64"/>
  <c r="AM64"/>
  <c r="AN64"/>
  <c r="AG65"/>
  <c r="AH65"/>
  <c r="AI65"/>
  <c r="AJ65"/>
  <c r="AK65"/>
  <c r="AL65"/>
  <c r="AM65"/>
  <c r="AN65"/>
  <c r="AG66"/>
  <c r="AH66"/>
  <c r="AI66"/>
  <c r="AJ66"/>
  <c r="AK66"/>
  <c r="AL66"/>
  <c r="AM66"/>
  <c r="AN66"/>
  <c r="AG67"/>
  <c r="AH67"/>
  <c r="AI67"/>
  <c r="AJ67"/>
  <c r="AK67"/>
  <c r="AL67"/>
  <c r="AM67"/>
  <c r="AN67"/>
  <c r="AG68"/>
  <c r="AH68"/>
  <c r="AI68"/>
  <c r="AJ68"/>
  <c r="AK68"/>
  <c r="AL68"/>
  <c r="AM68"/>
  <c r="AN68"/>
  <c r="AG69"/>
  <c r="AH69"/>
  <c r="AI69"/>
  <c r="AJ69"/>
  <c r="AK69"/>
  <c r="AL69"/>
  <c r="AM69"/>
  <c r="AN69"/>
  <c r="AG70"/>
  <c r="AH70"/>
  <c r="AI70"/>
  <c r="AJ70"/>
  <c r="AK70"/>
  <c r="AL70"/>
  <c r="AM70"/>
  <c r="AN70"/>
  <c r="AG71"/>
  <c r="AH71"/>
  <c r="AI71"/>
  <c r="AJ71"/>
  <c r="AK71"/>
  <c r="AL71"/>
  <c r="AM71"/>
  <c r="AN71"/>
  <c r="AG72"/>
  <c r="AH72"/>
  <c r="AI72"/>
  <c r="AJ72"/>
  <c r="AK72"/>
  <c r="AL72"/>
  <c r="AM72"/>
  <c r="AN72"/>
  <c r="AG73"/>
  <c r="AH73"/>
  <c r="AI73"/>
  <c r="AJ73"/>
  <c r="AK73"/>
  <c r="AL73"/>
  <c r="AM73"/>
  <c r="AN73"/>
  <c r="AG74"/>
  <c r="AH74"/>
  <c r="AI74"/>
  <c r="AJ74"/>
  <c r="AK74"/>
  <c r="AL74"/>
  <c r="AM74"/>
  <c r="AN74"/>
  <c r="AG75"/>
  <c r="AH75"/>
  <c r="AI75"/>
  <c r="AJ75"/>
  <c r="AK75"/>
  <c r="AL75"/>
  <c r="AM75"/>
  <c r="AN75"/>
  <c r="AG76"/>
  <c r="AH76"/>
  <c r="AI76"/>
  <c r="AJ76"/>
  <c r="AK76"/>
  <c r="AL76"/>
  <c r="AM76"/>
  <c r="AN76"/>
  <c r="AG77"/>
  <c r="AH77"/>
  <c r="AI77"/>
  <c r="AJ77"/>
  <c r="AK77"/>
  <c r="AL77"/>
  <c r="AM77"/>
  <c r="AN77"/>
  <c r="AG78"/>
  <c r="AH78"/>
  <c r="AI78"/>
  <c r="AJ78"/>
  <c r="AK78"/>
  <c r="AL78"/>
  <c r="AM78"/>
  <c r="AN78"/>
  <c r="AG79"/>
  <c r="AH79"/>
  <c r="AI79"/>
  <c r="AJ79"/>
  <c r="AK79"/>
  <c r="AL79"/>
  <c r="AM79"/>
  <c r="AN79"/>
  <c r="AG80"/>
  <c r="AH80"/>
  <c r="AI80"/>
  <c r="AJ80"/>
  <c r="AK80"/>
  <c r="AL80"/>
  <c r="AM80"/>
  <c r="AN80"/>
  <c r="AG81"/>
  <c r="AH81"/>
  <c r="AI81"/>
  <c r="AJ81"/>
  <c r="AK81"/>
  <c r="AL81"/>
  <c r="AM81"/>
  <c r="AN81"/>
  <c r="AG82"/>
  <c r="AH82"/>
  <c r="AI82"/>
  <c r="AJ82"/>
  <c r="AK82"/>
  <c r="AL82"/>
  <c r="AM82"/>
  <c r="AN82"/>
  <c r="AG83"/>
  <c r="AH83"/>
  <c r="AI83"/>
  <c r="AJ83"/>
  <c r="AK83"/>
  <c r="AL83"/>
  <c r="AM83"/>
  <c r="AN83"/>
  <c r="AG84"/>
  <c r="AH84"/>
  <c r="AI84"/>
  <c r="AJ84"/>
  <c r="AK84"/>
  <c r="AL84"/>
  <c r="AM84"/>
  <c r="AN84"/>
  <c r="AG85"/>
  <c r="AH85"/>
  <c r="AI85"/>
  <c r="AJ85"/>
  <c r="AK85"/>
  <c r="AL85"/>
  <c r="AM85"/>
  <c r="AN85"/>
  <c r="AG86"/>
  <c r="AH86"/>
  <c r="AI86"/>
  <c r="AJ86"/>
  <c r="AK86"/>
  <c r="AL86"/>
  <c r="AM86"/>
  <c r="AN86"/>
  <c r="AG87"/>
  <c r="AH87"/>
  <c r="AI87"/>
  <c r="AJ87"/>
  <c r="AK87"/>
  <c r="AL87"/>
  <c r="AM87"/>
  <c r="AN87"/>
  <c r="AG88"/>
  <c r="AH88"/>
  <c r="AI88"/>
  <c r="AJ88"/>
  <c r="AK88"/>
  <c r="AL88"/>
  <c r="AM88"/>
  <c r="AN88"/>
  <c r="AG89"/>
  <c r="AH89"/>
  <c r="AI89"/>
  <c r="AJ89"/>
  <c r="AK89"/>
  <c r="AL89"/>
  <c r="AM89"/>
  <c r="AN89"/>
  <c r="AG90"/>
  <c r="AH90"/>
  <c r="AI90"/>
  <c r="AJ90"/>
  <c r="AK90"/>
  <c r="AL90"/>
  <c r="AM90"/>
  <c r="AN90"/>
  <c r="AG91"/>
  <c r="AH91"/>
  <c r="AI91"/>
  <c r="AJ91"/>
  <c r="AK91"/>
  <c r="AL91"/>
  <c r="AM91"/>
  <c r="AN91"/>
  <c r="AG92"/>
  <c r="AH92"/>
  <c r="AI92"/>
  <c r="AJ92"/>
  <c r="AK92"/>
  <c r="AL92"/>
  <c r="AM92"/>
  <c r="AN92"/>
  <c r="AG93"/>
  <c r="AH93"/>
  <c r="AI93"/>
  <c r="AJ93"/>
  <c r="AK93"/>
  <c r="AL93"/>
  <c r="AM93"/>
  <c r="AN93"/>
  <c r="AG94"/>
  <c r="AH94"/>
  <c r="AI94"/>
  <c r="AJ94"/>
  <c r="AK94"/>
  <c r="AL94"/>
  <c r="AM94"/>
  <c r="AN94"/>
  <c r="AG95"/>
  <c r="AH95"/>
  <c r="AI95"/>
  <c r="AJ95"/>
  <c r="AK95"/>
  <c r="AL95"/>
  <c r="AM95"/>
  <c r="AN95"/>
  <c r="AG96"/>
  <c r="AH96"/>
  <c r="AI96"/>
  <c r="AJ96"/>
  <c r="AK96"/>
  <c r="AL96"/>
  <c r="AM96"/>
  <c r="AN96"/>
  <c r="AG97"/>
  <c r="AH97"/>
  <c r="AI97"/>
  <c r="AJ97"/>
  <c r="AK97"/>
  <c r="AL97"/>
  <c r="AM97"/>
  <c r="AN97"/>
  <c r="AG98"/>
  <c r="AH98"/>
  <c r="AI98"/>
  <c r="AJ98"/>
  <c r="AK98"/>
  <c r="AL98"/>
  <c r="AM98"/>
  <c r="AN98"/>
  <c r="AG99"/>
  <c r="AH99"/>
  <c r="AI99"/>
  <c r="AJ99"/>
  <c r="AK99"/>
  <c r="AL99"/>
  <c r="AM99"/>
  <c r="AN99"/>
  <c r="AG100"/>
  <c r="AH100"/>
  <c r="AI100"/>
  <c r="AJ100"/>
  <c r="AK100"/>
  <c r="AL100"/>
  <c r="AM100"/>
  <c r="AN100"/>
  <c r="AG101"/>
  <c r="AH101"/>
  <c r="AI101"/>
  <c r="AJ101"/>
  <c r="AK101"/>
  <c r="AL101"/>
  <c r="AM101"/>
  <c r="AN101"/>
  <c r="AG102"/>
  <c r="AH102"/>
  <c r="AI102"/>
  <c r="AJ102"/>
  <c r="AK102"/>
  <c r="AL102"/>
  <c r="AM102"/>
  <c r="AN102"/>
  <c r="AG103"/>
  <c r="AH103"/>
  <c r="AI103"/>
  <c r="AJ103"/>
  <c r="AK103"/>
  <c r="AL103"/>
  <c r="AM103"/>
  <c r="AN103"/>
  <c r="AG104"/>
  <c r="AH104"/>
  <c r="AI104"/>
  <c r="AJ104"/>
  <c r="AK104"/>
  <c r="AL104"/>
  <c r="AM104"/>
  <c r="AN104"/>
  <c r="AG105"/>
  <c r="AH105"/>
  <c r="AI105"/>
  <c r="AJ105"/>
  <c r="AK105"/>
  <c r="AL105"/>
  <c r="AM105"/>
  <c r="AN105"/>
  <c r="AG106"/>
  <c r="AH106"/>
  <c r="AI106"/>
  <c r="AJ106"/>
  <c r="AK106"/>
  <c r="AL106"/>
  <c r="AM106"/>
  <c r="AN106"/>
  <c r="AG107"/>
  <c r="AH107"/>
  <c r="AI107"/>
  <c r="AJ107"/>
  <c r="AK107"/>
  <c r="AL107"/>
  <c r="AM107"/>
  <c r="AN107"/>
  <c r="AG108"/>
  <c r="AH108"/>
  <c r="AI108"/>
  <c r="AJ108"/>
  <c r="AK108"/>
  <c r="AL108"/>
  <c r="AM108"/>
  <c r="AN108"/>
  <c r="AN59"/>
  <c r="AM59"/>
  <c r="AL59"/>
  <c r="AK59"/>
  <c r="AJ59"/>
  <c r="AI59"/>
  <c r="AH59"/>
  <c r="AG59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59"/>
  <c r="AP107"/>
  <c r="AD107" s="1"/>
  <c r="AP108"/>
  <c r="AD108" s="1"/>
  <c r="AP60"/>
  <c r="AP61"/>
  <c r="AP62"/>
  <c r="AP63"/>
  <c r="AP64"/>
  <c r="AD64" s="1"/>
  <c r="AP65"/>
  <c r="AD65" s="1"/>
  <c r="AP66"/>
  <c r="AD66" s="1"/>
  <c r="AP67"/>
  <c r="AD67" s="1"/>
  <c r="AP68"/>
  <c r="AD68" s="1"/>
  <c r="AP69"/>
  <c r="AD69" s="1"/>
  <c r="AP70"/>
  <c r="AD70" s="1"/>
  <c r="AP71"/>
  <c r="AD71" s="1"/>
  <c r="AP72"/>
  <c r="AD72" s="1"/>
  <c r="AP73"/>
  <c r="AD73" s="1"/>
  <c r="AP74"/>
  <c r="AD74" s="1"/>
  <c r="AP75"/>
  <c r="AD75" s="1"/>
  <c r="AP76"/>
  <c r="AD76" s="1"/>
  <c r="AP77"/>
  <c r="AD77" s="1"/>
  <c r="AP78"/>
  <c r="AD78" s="1"/>
  <c r="AP79"/>
  <c r="AD79" s="1"/>
  <c r="AP80"/>
  <c r="AD80" s="1"/>
  <c r="AP81"/>
  <c r="AD81" s="1"/>
  <c r="AP82"/>
  <c r="AD82" s="1"/>
  <c r="AP83"/>
  <c r="AD83" s="1"/>
  <c r="AP84"/>
  <c r="AD84" s="1"/>
  <c r="AP85"/>
  <c r="AD85" s="1"/>
  <c r="AP86"/>
  <c r="AD86" s="1"/>
  <c r="AP87"/>
  <c r="AD87" s="1"/>
  <c r="AP88"/>
  <c r="AD88" s="1"/>
  <c r="AP89"/>
  <c r="AD89" s="1"/>
  <c r="AP90"/>
  <c r="AD90" s="1"/>
  <c r="AP91"/>
  <c r="AD91" s="1"/>
  <c r="AP92"/>
  <c r="AD92" s="1"/>
  <c r="AP93"/>
  <c r="AD93" s="1"/>
  <c r="AP94"/>
  <c r="AD94" s="1"/>
  <c r="AP95"/>
  <c r="AD95" s="1"/>
  <c r="AP96"/>
  <c r="AD96" s="1"/>
  <c r="AP97"/>
  <c r="AD97" s="1"/>
  <c r="AP98"/>
  <c r="AD98" s="1"/>
  <c r="AP99"/>
  <c r="AD99" s="1"/>
  <c r="AP100"/>
  <c r="AD100" s="1"/>
  <c r="AP101"/>
  <c r="AD101" s="1"/>
  <c r="AP102"/>
  <c r="AD102" s="1"/>
  <c r="AP103"/>
  <c r="AD103" s="1"/>
  <c r="AP104"/>
  <c r="AD104" s="1"/>
  <c r="AP105"/>
  <c r="AD105" s="1"/>
  <c r="AP106"/>
  <c r="AD106" s="1"/>
  <c r="AD59"/>
  <c r="AP59"/>
  <c r="BW12" i="4" l="1"/>
  <c r="I12"/>
  <c r="D7" i="14" s="1"/>
  <c r="CQ67" i="1"/>
  <c r="C114" i="4" s="1"/>
  <c r="F95"/>
  <c r="D95"/>
  <c r="BZ95" s="1"/>
  <c r="G95"/>
  <c r="H95"/>
  <c r="E95"/>
  <c r="C95"/>
  <c r="G110"/>
  <c r="D108"/>
  <c r="F108"/>
  <c r="H108"/>
  <c r="D109"/>
  <c r="F109"/>
  <c r="H109"/>
  <c r="D110"/>
  <c r="F110"/>
  <c r="D107"/>
  <c r="G107"/>
  <c r="E107"/>
  <c r="C108"/>
  <c r="E108"/>
  <c r="G108"/>
  <c r="C109"/>
  <c r="E109"/>
  <c r="G109"/>
  <c r="C110"/>
  <c r="E110"/>
  <c r="H110"/>
  <c r="C107"/>
  <c r="H107"/>
  <c r="F107"/>
  <c r="E114"/>
  <c r="C115"/>
  <c r="G115"/>
  <c r="E116"/>
  <c r="G113"/>
  <c r="C113"/>
  <c r="F114"/>
  <c r="D115"/>
  <c r="H115"/>
  <c r="F116"/>
  <c r="H113"/>
  <c r="D113"/>
  <c r="BD63" i="1"/>
  <c r="F85" i="4" s="1"/>
  <c r="AQ64" i="1"/>
  <c r="T27" i="4" s="1"/>
  <c r="N13"/>
  <c r="AD60" i="1"/>
  <c r="AD61" s="1"/>
  <c r="AD62" s="1"/>
  <c r="AD63" s="1"/>
  <c r="F12" i="4"/>
  <c r="H13"/>
  <c r="BW13" s="1"/>
  <c r="F13"/>
  <c r="C8" i="14" s="1"/>
  <c r="D13" i="4"/>
  <c r="BZ13" s="1"/>
  <c r="C12"/>
  <c r="B7" i="14" s="1"/>
  <c r="AE12" i="4"/>
  <c r="N12"/>
  <c r="G12"/>
  <c r="K12" s="1"/>
  <c r="G13"/>
  <c r="E13"/>
  <c r="C13"/>
  <c r="B8" i="14" s="1"/>
  <c r="BQ74" i="1"/>
  <c r="H96" i="4" s="1"/>
  <c r="A7" i="14" l="1"/>
  <c r="E7"/>
  <c r="F7" s="1"/>
  <c r="C7"/>
  <c r="X16" i="4"/>
  <c r="G14"/>
  <c r="N14"/>
  <c r="BT14" s="1"/>
  <c r="AQ65" i="1"/>
  <c r="I13" i="4"/>
  <c r="D8" i="14" s="1"/>
  <c r="C14" i="4"/>
  <c r="B9" i="14" s="1"/>
  <c r="F113" i="4"/>
  <c r="H116"/>
  <c r="AJ116" s="1"/>
  <c r="D116"/>
  <c r="BZ116" s="1"/>
  <c r="F115"/>
  <c r="BI115" s="1"/>
  <c r="H114"/>
  <c r="AF114" s="1"/>
  <c r="D114"/>
  <c r="BV114" s="1"/>
  <c r="E113"/>
  <c r="G116"/>
  <c r="I116" s="1"/>
  <c r="C116"/>
  <c r="E115"/>
  <c r="G114"/>
  <c r="K114" s="1"/>
  <c r="F14"/>
  <c r="C9" i="14" s="1"/>
  <c r="G27" i="4"/>
  <c r="F27"/>
  <c r="C22" i="14" s="1"/>
  <c r="X25" i="4"/>
  <c r="W24"/>
  <c r="T23"/>
  <c r="X21"/>
  <c r="W20"/>
  <c r="T19"/>
  <c r="X17"/>
  <c r="W16"/>
  <c r="X24"/>
  <c r="W23"/>
  <c r="T22"/>
  <c r="X20"/>
  <c r="W19"/>
  <c r="T18"/>
  <c r="G92"/>
  <c r="C92"/>
  <c r="D91"/>
  <c r="BZ91" s="1"/>
  <c r="E90"/>
  <c r="F89"/>
  <c r="G88"/>
  <c r="N88" s="1"/>
  <c r="C88"/>
  <c r="D87"/>
  <c r="BZ87" s="1"/>
  <c r="E86"/>
  <c r="F92"/>
  <c r="BI92" s="1"/>
  <c r="G91"/>
  <c r="H91" s="1"/>
  <c r="C91"/>
  <c r="D90"/>
  <c r="BZ90" s="1"/>
  <c r="E89"/>
  <c r="F88"/>
  <c r="BI88" s="1"/>
  <c r="G87"/>
  <c r="H87" s="1"/>
  <c r="C87"/>
  <c r="D86"/>
  <c r="BZ86" s="1"/>
  <c r="E85"/>
  <c r="C85"/>
  <c r="AE27"/>
  <c r="C27"/>
  <c r="B22" i="14" s="1"/>
  <c r="X27" i="4"/>
  <c r="W14"/>
  <c r="T15"/>
  <c r="X15"/>
  <c r="T14"/>
  <c r="X14"/>
  <c r="W15"/>
  <c r="E14"/>
  <c r="D14"/>
  <c r="BZ14" s="1"/>
  <c r="H14"/>
  <c r="BW14" s="1"/>
  <c r="N27"/>
  <c r="BT27" s="1"/>
  <c r="T25"/>
  <c r="X23"/>
  <c r="W22"/>
  <c r="T21"/>
  <c r="X19"/>
  <c r="W18"/>
  <c r="T17"/>
  <c r="W25"/>
  <c r="T24"/>
  <c r="X22"/>
  <c r="W21"/>
  <c r="T20"/>
  <c r="X18"/>
  <c r="W17"/>
  <c r="T16"/>
  <c r="E92"/>
  <c r="F91"/>
  <c r="BI91" s="1"/>
  <c r="G90"/>
  <c r="N90" s="1"/>
  <c r="C90"/>
  <c r="D89"/>
  <c r="BZ89" s="1"/>
  <c r="E88"/>
  <c r="F87"/>
  <c r="BI87" s="1"/>
  <c r="G86"/>
  <c r="C86"/>
  <c r="D92"/>
  <c r="BZ92" s="1"/>
  <c r="E91"/>
  <c r="F90"/>
  <c r="BI90" s="1"/>
  <c r="G89"/>
  <c r="L89" s="1"/>
  <c r="C89"/>
  <c r="D88"/>
  <c r="BZ88" s="1"/>
  <c r="E87"/>
  <c r="F86"/>
  <c r="BI86" s="1"/>
  <c r="G85"/>
  <c r="D85"/>
  <c r="BZ85" s="1"/>
  <c r="W27"/>
  <c r="BX12"/>
  <c r="BT12"/>
  <c r="R14"/>
  <c r="R13"/>
  <c r="BX13"/>
  <c r="BY13" s="1"/>
  <c r="BT13"/>
  <c r="BV109"/>
  <c r="BZ109"/>
  <c r="BV113"/>
  <c r="BZ113"/>
  <c r="BV115"/>
  <c r="BZ115"/>
  <c r="BV107"/>
  <c r="BZ107"/>
  <c r="BV110"/>
  <c r="BZ110"/>
  <c r="BV108"/>
  <c r="BZ108"/>
  <c r="BW113"/>
  <c r="BI116"/>
  <c r="AG115"/>
  <c r="AM115"/>
  <c r="AW115"/>
  <c r="BA115"/>
  <c r="BK115"/>
  <c r="BW115"/>
  <c r="AF115"/>
  <c r="AJ115"/>
  <c r="AT115"/>
  <c r="AZ115"/>
  <c r="BG115"/>
  <c r="BL115"/>
  <c r="AE115"/>
  <c r="AI115"/>
  <c r="AS115"/>
  <c r="AY115"/>
  <c r="BE115"/>
  <c r="BO115"/>
  <c r="AH115"/>
  <c r="AO115"/>
  <c r="AX115"/>
  <c r="BB115"/>
  <c r="BJ115"/>
  <c r="BI114"/>
  <c r="J113"/>
  <c r="I113"/>
  <c r="N113"/>
  <c r="AE113" s="1"/>
  <c r="K113"/>
  <c r="I115"/>
  <c r="K115"/>
  <c r="M115"/>
  <c r="J115"/>
  <c r="L115"/>
  <c r="N115"/>
  <c r="J109"/>
  <c r="M109"/>
  <c r="I109"/>
  <c r="K109"/>
  <c r="N109"/>
  <c r="BP109" s="1"/>
  <c r="BQ109" s="1"/>
  <c r="L109"/>
  <c r="X28"/>
  <c r="W28"/>
  <c r="AF116"/>
  <c r="AT116"/>
  <c r="BG116"/>
  <c r="AG116"/>
  <c r="AW116"/>
  <c r="BK116"/>
  <c r="AH116"/>
  <c r="AX116"/>
  <c r="BJ116"/>
  <c r="AI116"/>
  <c r="AY116"/>
  <c r="BO116"/>
  <c r="AJ114"/>
  <c r="AZ114"/>
  <c r="BL114"/>
  <c r="AM114"/>
  <c r="BA114"/>
  <c r="BW114"/>
  <c r="AO114"/>
  <c r="BB114"/>
  <c r="AE114"/>
  <c r="AS114"/>
  <c r="BE114"/>
  <c r="K116"/>
  <c r="J116"/>
  <c r="N116"/>
  <c r="I114"/>
  <c r="M114"/>
  <c r="L114"/>
  <c r="BW107"/>
  <c r="AF110"/>
  <c r="AJ110"/>
  <c r="AT110"/>
  <c r="AZ110"/>
  <c r="BG110"/>
  <c r="BL110"/>
  <c r="AG110"/>
  <c r="AM110"/>
  <c r="AW110"/>
  <c r="BA110"/>
  <c r="BK110"/>
  <c r="BW110"/>
  <c r="AH110"/>
  <c r="AO110"/>
  <c r="AX110"/>
  <c r="BB110"/>
  <c r="BJ110"/>
  <c r="AE110"/>
  <c r="AI110"/>
  <c r="AS110"/>
  <c r="AY110"/>
  <c r="BE110"/>
  <c r="BO110"/>
  <c r="J108"/>
  <c r="K108"/>
  <c r="N108"/>
  <c r="BR108" s="1"/>
  <c r="BS108" s="1"/>
  <c r="I108"/>
  <c r="M108"/>
  <c r="L108"/>
  <c r="J107"/>
  <c r="N107"/>
  <c r="AE107" s="1"/>
  <c r="K107"/>
  <c r="I107"/>
  <c r="BI110"/>
  <c r="AE109"/>
  <c r="AI109"/>
  <c r="AS109"/>
  <c r="AY109"/>
  <c r="BE109"/>
  <c r="BO109"/>
  <c r="AH109"/>
  <c r="AO109"/>
  <c r="AX109"/>
  <c r="BB109"/>
  <c r="BJ109"/>
  <c r="AG109"/>
  <c r="AM109"/>
  <c r="AW109"/>
  <c r="BA109"/>
  <c r="BK109"/>
  <c r="BW109"/>
  <c r="AF109"/>
  <c r="AJ109"/>
  <c r="AT109"/>
  <c r="AZ109"/>
  <c r="BG109"/>
  <c r="BL109"/>
  <c r="BI108"/>
  <c r="J110"/>
  <c r="I110"/>
  <c r="M110"/>
  <c r="K110"/>
  <c r="N110"/>
  <c r="L110"/>
  <c r="N95"/>
  <c r="BP95" s="1"/>
  <c r="J95"/>
  <c r="K95"/>
  <c r="I95"/>
  <c r="G103"/>
  <c r="M103" s="1"/>
  <c r="C103"/>
  <c r="F102"/>
  <c r="BI102" s="1"/>
  <c r="G101"/>
  <c r="K101" s="1"/>
  <c r="C101"/>
  <c r="E100"/>
  <c r="G99"/>
  <c r="J99" s="1"/>
  <c r="C99"/>
  <c r="F98"/>
  <c r="BI98" s="1"/>
  <c r="G97"/>
  <c r="K97" s="1"/>
  <c r="C97"/>
  <c r="F103"/>
  <c r="BI103" s="1"/>
  <c r="G102"/>
  <c r="C102"/>
  <c r="F101"/>
  <c r="BI101" s="1"/>
  <c r="H100"/>
  <c r="BA100" s="1"/>
  <c r="D100"/>
  <c r="BZ100" s="1"/>
  <c r="F99"/>
  <c r="BI99" s="1"/>
  <c r="G98"/>
  <c r="C98"/>
  <c r="F97"/>
  <c r="G96"/>
  <c r="E103"/>
  <c r="H102"/>
  <c r="AF102" s="1"/>
  <c r="D102"/>
  <c r="BZ102" s="1"/>
  <c r="E101"/>
  <c r="G100"/>
  <c r="M100" s="1"/>
  <c r="C100"/>
  <c r="E99"/>
  <c r="H98"/>
  <c r="AZ98" s="1"/>
  <c r="D98"/>
  <c r="BZ98" s="1"/>
  <c r="E97"/>
  <c r="H103"/>
  <c r="BG103" s="1"/>
  <c r="D103"/>
  <c r="BZ103" s="1"/>
  <c r="E102"/>
  <c r="H101"/>
  <c r="AZ101" s="1"/>
  <c r="D101"/>
  <c r="BZ101" s="1"/>
  <c r="F100"/>
  <c r="BI100" s="1"/>
  <c r="H99"/>
  <c r="BG99" s="1"/>
  <c r="D99"/>
  <c r="BZ99" s="1"/>
  <c r="E98"/>
  <c r="H97"/>
  <c r="D97"/>
  <c r="BZ97" s="1"/>
  <c r="F96"/>
  <c r="T28"/>
  <c r="E96"/>
  <c r="D96"/>
  <c r="BZ96" s="1"/>
  <c r="BI109"/>
  <c r="AH108"/>
  <c r="AO108"/>
  <c r="AX108"/>
  <c r="BB108"/>
  <c r="BJ108"/>
  <c r="AE108"/>
  <c r="AI108"/>
  <c r="AS108"/>
  <c r="AY108"/>
  <c r="BE108"/>
  <c r="BO108"/>
  <c r="AF108"/>
  <c r="AJ108"/>
  <c r="AT108"/>
  <c r="AZ108"/>
  <c r="BG108"/>
  <c r="BL108"/>
  <c r="AG108"/>
  <c r="AM108"/>
  <c r="AW108"/>
  <c r="BA108"/>
  <c r="BK108"/>
  <c r="BW108"/>
  <c r="C96"/>
  <c r="N92"/>
  <c r="BP92" s="1"/>
  <c r="H92"/>
  <c r="M92"/>
  <c r="K92"/>
  <c r="BI89"/>
  <c r="H88"/>
  <c r="M88"/>
  <c r="J88"/>
  <c r="L88"/>
  <c r="I91"/>
  <c r="N91"/>
  <c r="BP91" s="1"/>
  <c r="M91"/>
  <c r="L87"/>
  <c r="J87"/>
  <c r="M87"/>
  <c r="J86"/>
  <c r="M86"/>
  <c r="H86"/>
  <c r="N86"/>
  <c r="H89"/>
  <c r="L12"/>
  <c r="M12"/>
  <c r="J13"/>
  <c r="AQ13"/>
  <c r="BI12"/>
  <c r="AQ12"/>
  <c r="R12"/>
  <c r="AE14"/>
  <c r="AQ27"/>
  <c r="K13"/>
  <c r="I14"/>
  <c r="D9" i="14" s="1"/>
  <c r="J12" i="4"/>
  <c r="AE13"/>
  <c r="K14"/>
  <c r="E27"/>
  <c r="D27"/>
  <c r="BZ27" s="1"/>
  <c r="N15"/>
  <c r="N19"/>
  <c r="N23"/>
  <c r="C15"/>
  <c r="B10" i="14" s="1"/>
  <c r="G15" i="4"/>
  <c r="E16"/>
  <c r="C17"/>
  <c r="B12" i="14" s="1"/>
  <c r="G17" i="4"/>
  <c r="E18"/>
  <c r="C19"/>
  <c r="B14" i="14" s="1"/>
  <c r="G19" i="4"/>
  <c r="E20"/>
  <c r="C21"/>
  <c r="B16" i="14" s="1"/>
  <c r="G21" i="4"/>
  <c r="E22"/>
  <c r="C23"/>
  <c r="B18" i="14" s="1"/>
  <c r="G23" i="4"/>
  <c r="E24"/>
  <c r="C25"/>
  <c r="B20" i="14" s="1"/>
  <c r="G25" i="4"/>
  <c r="N18"/>
  <c r="N22"/>
  <c r="F15"/>
  <c r="C10" i="14" s="1"/>
  <c r="D16" i="4"/>
  <c r="BZ16" s="1"/>
  <c r="H16"/>
  <c r="F17"/>
  <c r="C12" i="14" s="1"/>
  <c r="D18" i="4"/>
  <c r="BZ18" s="1"/>
  <c r="H18"/>
  <c r="F19"/>
  <c r="C14" i="14" s="1"/>
  <c r="D20" i="4"/>
  <c r="BZ20" s="1"/>
  <c r="H20"/>
  <c r="F21"/>
  <c r="C16" i="14" s="1"/>
  <c r="D22" i="4"/>
  <c r="BZ22" s="1"/>
  <c r="H22"/>
  <c r="F23"/>
  <c r="C18" i="14" s="1"/>
  <c r="D24" i="4"/>
  <c r="BZ24" s="1"/>
  <c r="H24"/>
  <c r="F25"/>
  <c r="C20" i="14" s="1"/>
  <c r="N17" i="4"/>
  <c r="N21"/>
  <c r="N25"/>
  <c r="E15"/>
  <c r="C16"/>
  <c r="B11" i="14" s="1"/>
  <c r="G16" i="4"/>
  <c r="E17"/>
  <c r="C18"/>
  <c r="B13" i="14" s="1"/>
  <c r="G18" i="4"/>
  <c r="E19"/>
  <c r="C20"/>
  <c r="B15" i="14" s="1"/>
  <c r="G20" i="4"/>
  <c r="E21"/>
  <c r="C22"/>
  <c r="B17" i="14" s="1"/>
  <c r="G22" i="4"/>
  <c r="E23"/>
  <c r="C24"/>
  <c r="B19" i="14" s="1"/>
  <c r="G24" i="4"/>
  <c r="E25"/>
  <c r="N16"/>
  <c r="N20"/>
  <c r="N24"/>
  <c r="D15"/>
  <c r="BZ15" s="1"/>
  <c r="H15"/>
  <c r="F16"/>
  <c r="C11" i="14" s="1"/>
  <c r="D17" i="4"/>
  <c r="BZ17" s="1"/>
  <c r="H17"/>
  <c r="F18"/>
  <c r="C13" i="14" s="1"/>
  <c r="D19" i="4"/>
  <c r="BZ19" s="1"/>
  <c r="H19"/>
  <c r="F20"/>
  <c r="C15" i="14" s="1"/>
  <c r="D21" i="4"/>
  <c r="BZ21" s="1"/>
  <c r="H21"/>
  <c r="F22"/>
  <c r="C17" i="14" s="1"/>
  <c r="D23" i="4"/>
  <c r="BZ23" s="1"/>
  <c r="H23"/>
  <c r="F24"/>
  <c r="C19" i="14" s="1"/>
  <c r="D25" i="4"/>
  <c r="BZ25" s="1"/>
  <c r="H25"/>
  <c r="AQ66" i="1"/>
  <c r="W29" i="4" s="1"/>
  <c r="I90" l="1"/>
  <c r="BA98"/>
  <c r="AZ102"/>
  <c r="BJ101"/>
  <c r="AE102"/>
  <c r="AF100"/>
  <c r="N101"/>
  <c r="AH101"/>
  <c r="BG101"/>
  <c r="AO98"/>
  <c r="AX102"/>
  <c r="BG100"/>
  <c r="J97"/>
  <c r="L101"/>
  <c r="I101"/>
  <c r="J14"/>
  <c r="AQ14"/>
  <c r="I86"/>
  <c r="L86"/>
  <c r="K86"/>
  <c r="K87"/>
  <c r="N87"/>
  <c r="BP87" s="1"/>
  <c r="I87"/>
  <c r="K88"/>
  <c r="I88"/>
  <c r="L116"/>
  <c r="M116"/>
  <c r="BE116"/>
  <c r="AS116"/>
  <c r="AE116"/>
  <c r="BB116"/>
  <c r="AO116"/>
  <c r="BW116"/>
  <c r="BA116"/>
  <c r="AM116"/>
  <c r="BL116"/>
  <c r="AZ116"/>
  <c r="BR115"/>
  <c r="BS115" s="1"/>
  <c r="BZ114"/>
  <c r="BX27"/>
  <c r="BY27" s="1"/>
  <c r="BP90"/>
  <c r="BI27"/>
  <c r="BA101"/>
  <c r="AF101"/>
  <c r="AH98"/>
  <c r="BJ98"/>
  <c r="AF98"/>
  <c r="BG102"/>
  <c r="AI102"/>
  <c r="AE100"/>
  <c r="AO100"/>
  <c r="AX100"/>
  <c r="I97"/>
  <c r="L97" s="1"/>
  <c r="L13"/>
  <c r="I89"/>
  <c r="K90"/>
  <c r="K91"/>
  <c r="J91"/>
  <c r="L91"/>
  <c r="L92"/>
  <c r="J92"/>
  <c r="I92"/>
  <c r="N114"/>
  <c r="J114"/>
  <c r="BO114"/>
  <c r="AY114"/>
  <c r="AI114"/>
  <c r="BJ114"/>
  <c r="AX114"/>
  <c r="AH114"/>
  <c r="BK114"/>
  <c r="AW114"/>
  <c r="AG114"/>
  <c r="BG114"/>
  <c r="AT114"/>
  <c r="BI113"/>
  <c r="BV116"/>
  <c r="BX14"/>
  <c r="BY14" s="1"/>
  <c r="J89"/>
  <c r="K89"/>
  <c r="L90"/>
  <c r="M89"/>
  <c r="N89"/>
  <c r="BX89" s="1"/>
  <c r="BY89" s="1"/>
  <c r="H90"/>
  <c r="AZ90" s="1"/>
  <c r="M90"/>
  <c r="J90"/>
  <c r="BJ99"/>
  <c r="AE103"/>
  <c r="L100"/>
  <c r="I102"/>
  <c r="M99"/>
  <c r="L107"/>
  <c r="L111" s="1"/>
  <c r="E8" i="14"/>
  <c r="E9" s="1"/>
  <c r="E10" s="1"/>
  <c r="E11" s="1"/>
  <c r="A8"/>
  <c r="A9" s="1"/>
  <c r="L113" i="4"/>
  <c r="AO101"/>
  <c r="AE101"/>
  <c r="AX101"/>
  <c r="AI101"/>
  <c r="AE98"/>
  <c r="BG98"/>
  <c r="AX98"/>
  <c r="AI98"/>
  <c r="AH102"/>
  <c r="BA102"/>
  <c r="BJ102"/>
  <c r="AO102"/>
  <c r="AH100"/>
  <c r="AZ100"/>
  <c r="BJ100"/>
  <c r="AI100"/>
  <c r="N97"/>
  <c r="J101"/>
  <c r="M101"/>
  <c r="AE95"/>
  <c r="BI95" s="1"/>
  <c r="BI107"/>
  <c r="BG107"/>
  <c r="J85"/>
  <c r="K85"/>
  <c r="K93" s="1"/>
  <c r="H85"/>
  <c r="N85"/>
  <c r="AO99"/>
  <c r="AX99"/>
  <c r="AF103"/>
  <c r="I100"/>
  <c r="L98"/>
  <c r="N102"/>
  <c r="BP102" s="1"/>
  <c r="L99"/>
  <c r="N103"/>
  <c r="BX103" s="1"/>
  <c r="BY103" s="1"/>
  <c r="L95"/>
  <c r="M95" s="1"/>
  <c r="AO107"/>
  <c r="M107"/>
  <c r="M111" s="1"/>
  <c r="AE99"/>
  <c r="AF99"/>
  <c r="AO103"/>
  <c r="BJ103"/>
  <c r="AX103"/>
  <c r="N100"/>
  <c r="BP100" s="1"/>
  <c r="M98"/>
  <c r="I98"/>
  <c r="K102"/>
  <c r="I99"/>
  <c r="L103"/>
  <c r="I103"/>
  <c r="BP115"/>
  <c r="BQ115" s="1"/>
  <c r="BT20"/>
  <c r="BX20"/>
  <c r="BY20" s="1"/>
  <c r="BX25"/>
  <c r="BY25" s="1"/>
  <c r="BT25"/>
  <c r="BX17"/>
  <c r="BY17" s="1"/>
  <c r="BT17"/>
  <c r="AQ24"/>
  <c r="BW24"/>
  <c r="AQ20"/>
  <c r="BW20"/>
  <c r="AQ16"/>
  <c r="BW16"/>
  <c r="BT18"/>
  <c r="BX18"/>
  <c r="BY18" s="1"/>
  <c r="BX23"/>
  <c r="BY23" s="1"/>
  <c r="BT23"/>
  <c r="R15"/>
  <c r="BX15"/>
  <c r="BY15" s="1"/>
  <c r="BT15"/>
  <c r="BP89"/>
  <c r="BP86"/>
  <c r="BX86"/>
  <c r="BY86" s="1"/>
  <c r="BT86"/>
  <c r="BP88"/>
  <c r="BX88"/>
  <c r="BY88" s="1"/>
  <c r="BT88"/>
  <c r="BX102"/>
  <c r="BY102" s="1"/>
  <c r="BX101"/>
  <c r="BY101" s="1"/>
  <c r="BT101"/>
  <c r="BX114"/>
  <c r="BY114" s="1"/>
  <c r="BT114"/>
  <c r="BX116"/>
  <c r="BY116" s="1"/>
  <c r="BT116"/>
  <c r="BX109"/>
  <c r="BY109" s="1"/>
  <c r="BT109"/>
  <c r="BX115"/>
  <c r="BY115" s="1"/>
  <c r="BT115"/>
  <c r="BY12"/>
  <c r="BR113"/>
  <c r="BS113" s="1"/>
  <c r="AI113" s="1"/>
  <c r="M113"/>
  <c r="AQ25"/>
  <c r="BW25"/>
  <c r="AQ21"/>
  <c r="BW21"/>
  <c r="AQ17"/>
  <c r="BW17"/>
  <c r="AQ23"/>
  <c r="BW23"/>
  <c r="AQ19"/>
  <c r="BW19"/>
  <c r="AQ15"/>
  <c r="BW15"/>
  <c r="BT24"/>
  <c r="BX24"/>
  <c r="BY24" s="1"/>
  <c r="BT16"/>
  <c r="BX16"/>
  <c r="BY16" s="1"/>
  <c r="BX21"/>
  <c r="BY21" s="1"/>
  <c r="BT21"/>
  <c r="AQ22"/>
  <c r="BW22"/>
  <c r="AQ18"/>
  <c r="BW18"/>
  <c r="BT22"/>
  <c r="BX22"/>
  <c r="BY22" s="1"/>
  <c r="BX19"/>
  <c r="BY19" s="1"/>
  <c r="BT19"/>
  <c r="BX90"/>
  <c r="BY90" s="1"/>
  <c r="BT90"/>
  <c r="BX87"/>
  <c r="BY87" s="1"/>
  <c r="BX91"/>
  <c r="BY91" s="1"/>
  <c r="BT91"/>
  <c r="BX92"/>
  <c r="BY92" s="1"/>
  <c r="BT92"/>
  <c r="BX95"/>
  <c r="BY95" s="1"/>
  <c r="BT95"/>
  <c r="BR110"/>
  <c r="BS110" s="1"/>
  <c r="BT110"/>
  <c r="BX110"/>
  <c r="BY110" s="1"/>
  <c r="BP107"/>
  <c r="BQ107" s="1"/>
  <c r="BX107"/>
  <c r="BY107" s="1"/>
  <c r="BT107"/>
  <c r="BJ107" s="1"/>
  <c r="BT108"/>
  <c r="BX108"/>
  <c r="BY108" s="1"/>
  <c r="BX113"/>
  <c r="BY113" s="1"/>
  <c r="BT113"/>
  <c r="BJ113" s="1"/>
  <c r="BP101"/>
  <c r="BR109"/>
  <c r="BS109" s="1"/>
  <c r="N96"/>
  <c r="K96"/>
  <c r="J96"/>
  <c r="I96"/>
  <c r="L96" s="1"/>
  <c r="M96" s="1"/>
  <c r="BP110"/>
  <c r="BQ110" s="1"/>
  <c r="BR107"/>
  <c r="BS107" s="1"/>
  <c r="AI107" s="1"/>
  <c r="BP108"/>
  <c r="BQ108" s="1"/>
  <c r="I111"/>
  <c r="K111"/>
  <c r="X29"/>
  <c r="BR114"/>
  <c r="BS114" s="1"/>
  <c r="BP116"/>
  <c r="BQ116" s="1"/>
  <c r="AH99"/>
  <c r="AZ99"/>
  <c r="AI99"/>
  <c r="BA99"/>
  <c r="AH103"/>
  <c r="AZ103"/>
  <c r="AI103"/>
  <c r="BA103"/>
  <c r="J100"/>
  <c r="K100"/>
  <c r="J98"/>
  <c r="K98"/>
  <c r="N98"/>
  <c r="J102"/>
  <c r="L102"/>
  <c r="M102"/>
  <c r="K99"/>
  <c r="N99"/>
  <c r="J103"/>
  <c r="K103"/>
  <c r="BP113"/>
  <c r="BQ113" s="1"/>
  <c r="AG113" s="1"/>
  <c r="T29"/>
  <c r="K117"/>
  <c r="I117"/>
  <c r="BP114"/>
  <c r="BQ114" s="1"/>
  <c r="BR116"/>
  <c r="BS116" s="1"/>
  <c r="M97"/>
  <c r="AO89"/>
  <c r="BO89"/>
  <c r="BK89"/>
  <c r="AZ89"/>
  <c r="AS89"/>
  <c r="AH89"/>
  <c r="BJ89"/>
  <c r="BL89"/>
  <c r="AY89"/>
  <c r="AT89"/>
  <c r="AE89"/>
  <c r="AI89"/>
  <c r="BG89"/>
  <c r="AX89"/>
  <c r="BB89"/>
  <c r="AF89"/>
  <c r="AJ89"/>
  <c r="BE89"/>
  <c r="AW89"/>
  <c r="BA89"/>
  <c r="AM89"/>
  <c r="AG89"/>
  <c r="BL90"/>
  <c r="AS90"/>
  <c r="AJ90"/>
  <c r="BG90"/>
  <c r="BA90"/>
  <c r="AI90"/>
  <c r="AX90"/>
  <c r="AM90"/>
  <c r="BJ90"/>
  <c r="AT90"/>
  <c r="AO90"/>
  <c r="BE88"/>
  <c r="AX88"/>
  <c r="BB88"/>
  <c r="AM88"/>
  <c r="AH88"/>
  <c r="BJ88"/>
  <c r="BK88"/>
  <c r="AY88"/>
  <c r="AT88"/>
  <c r="AG88"/>
  <c r="AO88"/>
  <c r="BL88"/>
  <c r="AZ88"/>
  <c r="AF88"/>
  <c r="AJ88"/>
  <c r="BG88"/>
  <c r="BA88"/>
  <c r="AI88"/>
  <c r="AS88"/>
  <c r="BO88"/>
  <c r="AW88"/>
  <c r="AE88"/>
  <c r="BE86"/>
  <c r="AX86"/>
  <c r="BB86"/>
  <c r="AM86"/>
  <c r="AH86"/>
  <c r="BJ86"/>
  <c r="BK86"/>
  <c r="AY86"/>
  <c r="AT86"/>
  <c r="AG86"/>
  <c r="AO86"/>
  <c r="BL86"/>
  <c r="AZ86"/>
  <c r="AS86"/>
  <c r="AF86"/>
  <c r="AJ86"/>
  <c r="BO86"/>
  <c r="BG86"/>
  <c r="AW86"/>
  <c r="BA86"/>
  <c r="AE86"/>
  <c r="AI86"/>
  <c r="AO87"/>
  <c r="BO87"/>
  <c r="BK87"/>
  <c r="AZ87"/>
  <c r="AS87"/>
  <c r="AH87"/>
  <c r="BJ87"/>
  <c r="BL87"/>
  <c r="AY87"/>
  <c r="AT87"/>
  <c r="AE87"/>
  <c r="AI87"/>
  <c r="BG87"/>
  <c r="AX87"/>
  <c r="BB87"/>
  <c r="AF87"/>
  <c r="AJ87"/>
  <c r="BE87"/>
  <c r="AW87"/>
  <c r="BA87"/>
  <c r="AM87"/>
  <c r="AG87"/>
  <c r="AO91"/>
  <c r="BO91"/>
  <c r="BK91"/>
  <c r="AZ91"/>
  <c r="AS91"/>
  <c r="AH91"/>
  <c r="BJ91"/>
  <c r="BL91"/>
  <c r="AY91"/>
  <c r="AT91"/>
  <c r="AE91"/>
  <c r="AI91"/>
  <c r="BG91"/>
  <c r="AX91"/>
  <c r="BB91"/>
  <c r="AF91"/>
  <c r="AJ91"/>
  <c r="BE91"/>
  <c r="AW91"/>
  <c r="BA91"/>
  <c r="AM91"/>
  <c r="AG91"/>
  <c r="BL92"/>
  <c r="AZ92"/>
  <c r="AS92"/>
  <c r="AF92"/>
  <c r="AJ92"/>
  <c r="BO92"/>
  <c r="BG92"/>
  <c r="AW92"/>
  <c r="BA92"/>
  <c r="AE92"/>
  <c r="AI92"/>
  <c r="AX92"/>
  <c r="BB92"/>
  <c r="AH92"/>
  <c r="BJ92"/>
  <c r="AY92"/>
  <c r="AT92"/>
  <c r="AO92"/>
  <c r="BE92"/>
  <c r="AM92"/>
  <c r="BK92"/>
  <c r="AG92"/>
  <c r="BI22"/>
  <c r="AZ22"/>
  <c r="BC22"/>
  <c r="BA22"/>
  <c r="AX22"/>
  <c r="AT22"/>
  <c r="AY22"/>
  <c r="AS22"/>
  <c r="BI18"/>
  <c r="AZ18"/>
  <c r="BC18"/>
  <c r="BA18"/>
  <c r="AX18"/>
  <c r="AT18"/>
  <c r="AY18"/>
  <c r="AS18"/>
  <c r="BI25"/>
  <c r="BC25"/>
  <c r="AZ25"/>
  <c r="BA25"/>
  <c r="AX25"/>
  <c r="AT25"/>
  <c r="AY25"/>
  <c r="AS25"/>
  <c r="BI21"/>
  <c r="BC21"/>
  <c r="AZ21"/>
  <c r="BA21"/>
  <c r="AX21"/>
  <c r="AT21"/>
  <c r="AY21"/>
  <c r="AS21"/>
  <c r="BI17"/>
  <c r="BC17"/>
  <c r="AZ17"/>
  <c r="BA17"/>
  <c r="AX17"/>
  <c r="AT17"/>
  <c r="AY17"/>
  <c r="AS17"/>
  <c r="BI14"/>
  <c r="BI24"/>
  <c r="AZ24"/>
  <c r="BC24"/>
  <c r="BA24"/>
  <c r="AX24"/>
  <c r="AT24"/>
  <c r="AY24"/>
  <c r="AS24"/>
  <c r="BI20"/>
  <c r="AZ20"/>
  <c r="BC20"/>
  <c r="BA20"/>
  <c r="AX20"/>
  <c r="AT20"/>
  <c r="AY20"/>
  <c r="AS20"/>
  <c r="BI16"/>
  <c r="AZ16"/>
  <c r="BC16"/>
  <c r="BA16"/>
  <c r="AX16"/>
  <c r="AT16"/>
  <c r="AY16"/>
  <c r="AS16"/>
  <c r="BI23"/>
  <c r="BC23"/>
  <c r="AZ23"/>
  <c r="BA23"/>
  <c r="AX23"/>
  <c r="AT23"/>
  <c r="AY23"/>
  <c r="AS23"/>
  <c r="BI19"/>
  <c r="BC19"/>
  <c r="AZ19"/>
  <c r="BA19"/>
  <c r="AX19"/>
  <c r="AT19"/>
  <c r="AY19"/>
  <c r="AS19"/>
  <c r="BI13"/>
  <c r="L14"/>
  <c r="R24"/>
  <c r="R16"/>
  <c r="R20"/>
  <c r="BG25"/>
  <c r="AO25"/>
  <c r="BG21"/>
  <c r="AO21"/>
  <c r="BG17"/>
  <c r="AO17"/>
  <c r="BG24"/>
  <c r="AO24"/>
  <c r="BG20"/>
  <c r="AO20"/>
  <c r="BG16"/>
  <c r="AO16"/>
  <c r="R25"/>
  <c r="R17"/>
  <c r="R18"/>
  <c r="R23"/>
  <c r="BG23"/>
  <c r="AO23"/>
  <c r="BG19"/>
  <c r="AO19"/>
  <c r="BG22"/>
  <c r="AO22"/>
  <c r="BG18"/>
  <c r="AO18"/>
  <c r="R27"/>
  <c r="R21"/>
  <c r="R22"/>
  <c r="R19"/>
  <c r="AQ67" i="1"/>
  <c r="C29" i="4" s="1"/>
  <c r="B24" i="14" s="1"/>
  <c r="G29" i="4"/>
  <c r="F28"/>
  <c r="C23" i="14" s="1"/>
  <c r="I27" i="4"/>
  <c r="D22" i="14" s="1"/>
  <c r="J27" i="4"/>
  <c r="K27"/>
  <c r="N28"/>
  <c r="N29"/>
  <c r="G28"/>
  <c r="D28"/>
  <c r="BZ28" s="1"/>
  <c r="E29"/>
  <c r="E28"/>
  <c r="F29"/>
  <c r="C24" i="14" s="1"/>
  <c r="C28" i="4"/>
  <c r="B23" i="14" s="1"/>
  <c r="D29" i="4"/>
  <c r="BZ29" s="1"/>
  <c r="H28"/>
  <c r="AG23"/>
  <c r="I23"/>
  <c r="D18" i="14" s="1"/>
  <c r="F18" s="1"/>
  <c r="M23" i="4"/>
  <c r="L23"/>
  <c r="AI23"/>
  <c r="AF23"/>
  <c r="J23"/>
  <c r="K23"/>
  <c r="AE23"/>
  <c r="AH23"/>
  <c r="AG19"/>
  <c r="I19"/>
  <c r="D14" i="14" s="1"/>
  <c r="F14" s="1"/>
  <c r="M19" i="4"/>
  <c r="L19"/>
  <c r="AI19"/>
  <c r="AF19"/>
  <c r="J19"/>
  <c r="K19"/>
  <c r="AE19"/>
  <c r="AH19"/>
  <c r="I15"/>
  <c r="D10" i="14" s="1"/>
  <c r="K15" i="4"/>
  <c r="J15"/>
  <c r="AE15"/>
  <c r="AH24"/>
  <c r="AE24"/>
  <c r="AG24"/>
  <c r="J24"/>
  <c r="M24"/>
  <c r="AF24"/>
  <c r="K24"/>
  <c r="L24"/>
  <c r="AI24"/>
  <c r="I24"/>
  <c r="D19" i="14" s="1"/>
  <c r="F19" s="1"/>
  <c r="AH20" i="4"/>
  <c r="AE20"/>
  <c r="AG20"/>
  <c r="J20"/>
  <c r="M20"/>
  <c r="AF20"/>
  <c r="K20"/>
  <c r="L20"/>
  <c r="AI20"/>
  <c r="I20"/>
  <c r="D15" i="14" s="1"/>
  <c r="F15" s="1"/>
  <c r="AH16" i="4"/>
  <c r="AE16"/>
  <c r="AG16"/>
  <c r="J16"/>
  <c r="M16"/>
  <c r="AF16"/>
  <c r="K16"/>
  <c r="L16"/>
  <c r="AI16"/>
  <c r="I16"/>
  <c r="D11" i="14" s="1"/>
  <c r="F11" s="1"/>
  <c r="AG25" i="4"/>
  <c r="J25"/>
  <c r="K25"/>
  <c r="AH25"/>
  <c r="L25"/>
  <c r="AF25"/>
  <c r="AM25" s="1"/>
  <c r="AI25"/>
  <c r="I25"/>
  <c r="D20" i="14" s="1"/>
  <c r="F20" s="1"/>
  <c r="M25" i="4"/>
  <c r="AE25"/>
  <c r="AG21"/>
  <c r="J21"/>
  <c r="K21"/>
  <c r="AH21"/>
  <c r="L21"/>
  <c r="AF21"/>
  <c r="AI21"/>
  <c r="I21"/>
  <c r="D16" i="14" s="1"/>
  <c r="F16" s="1"/>
  <c r="M21" i="4"/>
  <c r="AE21"/>
  <c r="AG17"/>
  <c r="J17"/>
  <c r="K17"/>
  <c r="AH17"/>
  <c r="L17"/>
  <c r="I17"/>
  <c r="D12" i="14" s="1"/>
  <c r="F12" s="1"/>
  <c r="M17" i="4"/>
  <c r="AE17"/>
  <c r="AF17"/>
  <c r="AI17"/>
  <c r="AH22"/>
  <c r="L22"/>
  <c r="AE22"/>
  <c r="AI22"/>
  <c r="I22"/>
  <c r="D17" i="14" s="1"/>
  <c r="F17" s="1"/>
  <c r="K22" i="4"/>
  <c r="AF22"/>
  <c r="M22"/>
  <c r="AG22"/>
  <c r="J22"/>
  <c r="AH18"/>
  <c r="L18"/>
  <c r="AE18"/>
  <c r="AI18"/>
  <c r="I18"/>
  <c r="D13" i="14" s="1"/>
  <c r="F13" s="1"/>
  <c r="K18" i="4"/>
  <c r="AF18"/>
  <c r="M18"/>
  <c r="AG18"/>
  <c r="J18"/>
  <c r="AQ68" i="1"/>
  <c r="AN115" i="4" l="1"/>
  <c r="BT103"/>
  <c r="L117"/>
  <c r="BP103"/>
  <c r="BT89"/>
  <c r="F10" i="14"/>
  <c r="AY90" i="4"/>
  <c r="AG90"/>
  <c r="BK90"/>
  <c r="AH90"/>
  <c r="BB90"/>
  <c r="BE90"/>
  <c r="AE90"/>
  <c r="AW90"/>
  <c r="BO90"/>
  <c r="AF90"/>
  <c r="BT87"/>
  <c r="M117"/>
  <c r="BT102"/>
  <c r="BP97"/>
  <c r="AF97" s="1"/>
  <c r="AE97"/>
  <c r="BX100"/>
  <c r="BY100" s="1"/>
  <c r="BT97"/>
  <c r="AG107"/>
  <c r="BT100"/>
  <c r="BX97"/>
  <c r="BY97" s="1"/>
  <c r="I118"/>
  <c r="L104"/>
  <c r="AN107"/>
  <c r="E12" i="14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F9"/>
  <c r="F8"/>
  <c r="AX107" i="4"/>
  <c r="BA107"/>
  <c r="AZ107"/>
  <c r="AY107"/>
  <c r="BP85"/>
  <c r="BQ85" s="1"/>
  <c r="BT85"/>
  <c r="BX85"/>
  <c r="BY85" s="1"/>
  <c r="AF107"/>
  <c r="CB85"/>
  <c r="I85"/>
  <c r="AE85"/>
  <c r="BI85" s="1"/>
  <c r="AH107"/>
  <c r="BX28"/>
  <c r="BY28" s="1"/>
  <c r="BT28"/>
  <c r="BP98"/>
  <c r="BX98"/>
  <c r="BY98" s="1"/>
  <c r="BT98"/>
  <c r="BX96"/>
  <c r="BY96" s="1"/>
  <c r="BT96"/>
  <c r="AZ113"/>
  <c r="BA113"/>
  <c r="AY113"/>
  <c r="AX113"/>
  <c r="M118"/>
  <c r="BX29"/>
  <c r="BY29" s="1"/>
  <c r="BT29"/>
  <c r="BP99"/>
  <c r="BX99"/>
  <c r="BY99" s="1"/>
  <c r="BT99"/>
  <c r="AF113"/>
  <c r="AM113" s="1"/>
  <c r="AH113"/>
  <c r="M104"/>
  <c r="AN113"/>
  <c r="BF113"/>
  <c r="BF116"/>
  <c r="AN116"/>
  <c r="BF108"/>
  <c r="AP108"/>
  <c r="AR108"/>
  <c r="BH108"/>
  <c r="BF110"/>
  <c r="AP110"/>
  <c r="AR110"/>
  <c r="BH110"/>
  <c r="AP109"/>
  <c r="AR109"/>
  <c r="BH109"/>
  <c r="BF114"/>
  <c r="AN114"/>
  <c r="AP115"/>
  <c r="AR115"/>
  <c r="BH115"/>
  <c r="AR107"/>
  <c r="BH107"/>
  <c r="AP107"/>
  <c r="AE96"/>
  <c r="BI96" s="1"/>
  <c r="BP96"/>
  <c r="AF96" s="1"/>
  <c r="AP113"/>
  <c r="AR113"/>
  <c r="BH113"/>
  <c r="AP116"/>
  <c r="BH116"/>
  <c r="AR116"/>
  <c r="AP114"/>
  <c r="BH114"/>
  <c r="AR114"/>
  <c r="L118"/>
  <c r="BF109"/>
  <c r="AX96"/>
  <c r="I104"/>
  <c r="K104"/>
  <c r="K105" s="1"/>
  <c r="K118"/>
  <c r="BF115"/>
  <c r="AN108"/>
  <c r="AN110"/>
  <c r="BF107"/>
  <c r="AN109"/>
  <c r="AX97"/>
  <c r="I26"/>
  <c r="K26"/>
  <c r="L27"/>
  <c r="AE29"/>
  <c r="BI29" s="1"/>
  <c r="AQ29"/>
  <c r="BI15"/>
  <c r="AE28"/>
  <c r="BI28" s="1"/>
  <c r="AQ28"/>
  <c r="R29"/>
  <c r="R28"/>
  <c r="J29"/>
  <c r="I29"/>
  <c r="D24" i="14" s="1"/>
  <c r="K29" i="4"/>
  <c r="I28"/>
  <c r="D23" i="14" s="1"/>
  <c r="K28" i="4"/>
  <c r="J28"/>
  <c r="AM22"/>
  <c r="AJ22"/>
  <c r="AJ17"/>
  <c r="AM17"/>
  <c r="L15"/>
  <c r="L26" s="1"/>
  <c r="AM18"/>
  <c r="AJ18"/>
  <c r="AJ21"/>
  <c r="AM21"/>
  <c r="AJ25"/>
  <c r="AM16"/>
  <c r="AJ16"/>
  <c r="AM20"/>
  <c r="AJ20"/>
  <c r="AM24"/>
  <c r="AJ24"/>
  <c r="AJ19"/>
  <c r="AM19"/>
  <c r="AJ23"/>
  <c r="AM23"/>
  <c r="AQ69" i="1"/>
  <c r="AQ70" s="1"/>
  <c r="BI97" i="4" l="1"/>
  <c r="F23" i="14"/>
  <c r="F24"/>
  <c r="F22"/>
  <c r="E61"/>
  <c r="E62"/>
  <c r="E63" s="1"/>
  <c r="E64" s="1"/>
  <c r="E65" s="1"/>
  <c r="A23"/>
  <c r="A24" s="1"/>
  <c r="BE107" i="4"/>
  <c r="BB107"/>
  <c r="L85"/>
  <c r="I93"/>
  <c r="I105" s="1"/>
  <c r="AM107"/>
  <c r="AJ107"/>
  <c r="N30"/>
  <c r="E30"/>
  <c r="T30"/>
  <c r="X30"/>
  <c r="W30"/>
  <c r="BE113"/>
  <c r="X31"/>
  <c r="T31"/>
  <c r="W31"/>
  <c r="L28"/>
  <c r="L29"/>
  <c r="C31"/>
  <c r="B26" i="14" s="1"/>
  <c r="G31" i="4"/>
  <c r="F30"/>
  <c r="D30"/>
  <c r="BZ30" s="1"/>
  <c r="G30"/>
  <c r="H30"/>
  <c r="F31"/>
  <c r="C26" i="14" s="1"/>
  <c r="D31" i="4"/>
  <c r="BZ31" s="1"/>
  <c r="E31"/>
  <c r="N31"/>
  <c r="H31"/>
  <c r="C30"/>
  <c r="B25" i="14" s="1"/>
  <c r="AQ71" i="1"/>
  <c r="T32" i="4" s="1"/>
  <c r="C25" i="14" l="1"/>
  <c r="L93" i="4"/>
  <c r="L105" s="1"/>
  <c r="M85"/>
  <c r="AF85"/>
  <c r="AG85"/>
  <c r="AS107"/>
  <c r="AT107" s="1"/>
  <c r="AW107" s="1"/>
  <c r="BK107"/>
  <c r="BL107" s="1"/>
  <c r="BO107" s="1"/>
  <c r="BX31"/>
  <c r="BY31" s="1"/>
  <c r="BT31"/>
  <c r="BX30"/>
  <c r="BT30"/>
  <c r="X32"/>
  <c r="W32"/>
  <c r="AE31"/>
  <c r="BI31" s="1"/>
  <c r="AQ31"/>
  <c r="AE30"/>
  <c r="BI30" s="1"/>
  <c r="AQ30"/>
  <c r="R31"/>
  <c r="R30"/>
  <c r="AQ72" i="1"/>
  <c r="AQ73" s="1"/>
  <c r="AQ74" s="1"/>
  <c r="AQ75" s="1"/>
  <c r="H61" i="4" s="1"/>
  <c r="I31"/>
  <c r="D26" i="14" s="1"/>
  <c r="F26" s="1"/>
  <c r="J31" i="4"/>
  <c r="K31"/>
  <c r="D63"/>
  <c r="BZ63" s="1"/>
  <c r="I30"/>
  <c r="D25" i="14" s="1"/>
  <c r="F25" s="1"/>
  <c r="K30" i="4"/>
  <c r="J30"/>
  <c r="D67"/>
  <c r="BZ67" s="1"/>
  <c r="H50"/>
  <c r="G33"/>
  <c r="H57"/>
  <c r="D42"/>
  <c r="BZ42" s="1"/>
  <c r="C33"/>
  <c r="B28" i="14" s="1"/>
  <c r="D69" i="4"/>
  <c r="BZ69" s="1"/>
  <c r="H52"/>
  <c r="D36"/>
  <c r="BZ36" s="1"/>
  <c r="D60"/>
  <c r="BZ60" s="1"/>
  <c r="D44"/>
  <c r="BZ44" s="1"/>
  <c r="D66"/>
  <c r="BZ66" s="1"/>
  <c r="H49"/>
  <c r="E32"/>
  <c r="D59"/>
  <c r="BZ59" s="1"/>
  <c r="D43"/>
  <c r="BZ43" s="1"/>
  <c r="L125"/>
  <c r="A3" i="3"/>
  <c r="L18" i="2"/>
  <c r="B50" i="3"/>
  <c r="C14"/>
  <c r="B14"/>
  <c r="L10" i="2"/>
  <c r="L11"/>
  <c r="L12"/>
  <c r="L13"/>
  <c r="K10"/>
  <c r="K11"/>
  <c r="K12"/>
  <c r="K13"/>
  <c r="H9" i="6"/>
  <c r="I9" s="1"/>
  <c r="H10"/>
  <c r="I10" s="1"/>
  <c r="H11"/>
  <c r="I11" s="1"/>
  <c r="F9"/>
  <c r="G9" s="1"/>
  <c r="F10"/>
  <c r="G10" s="1"/>
  <c r="F11"/>
  <c r="F8"/>
  <c r="G8" s="1"/>
  <c r="D9"/>
  <c r="E9" s="1"/>
  <c r="D10"/>
  <c r="E10" s="1"/>
  <c r="D11"/>
  <c r="E11" s="1"/>
  <c r="D8"/>
  <c r="E8" s="1"/>
  <c r="B9"/>
  <c r="C9" s="1"/>
  <c r="B10"/>
  <c r="C10" s="1"/>
  <c r="B11"/>
  <c r="C11" s="1"/>
  <c r="B8"/>
  <c r="C8" s="1"/>
  <c r="H17"/>
  <c r="G11"/>
  <c r="G10" i="2"/>
  <c r="H10"/>
  <c r="G11"/>
  <c r="H11"/>
  <c r="G12"/>
  <c r="H12"/>
  <c r="G13"/>
  <c r="H13"/>
  <c r="H9"/>
  <c r="C10"/>
  <c r="D10"/>
  <c r="C11"/>
  <c r="D11"/>
  <c r="C12"/>
  <c r="D12"/>
  <c r="C13"/>
  <c r="D13"/>
  <c r="C9"/>
  <c r="B42" i="3"/>
  <c r="J29" i="5"/>
  <c r="B44" i="3"/>
  <c r="M27" i="5"/>
  <c r="N27" s="1"/>
  <c r="K27"/>
  <c r="B40" i="3"/>
  <c r="J26" i="5"/>
  <c r="B39" i="3"/>
  <c r="B32"/>
  <c r="M20" i="5"/>
  <c r="N20" s="1"/>
  <c r="J20"/>
  <c r="J18"/>
  <c r="J16"/>
  <c r="N14"/>
  <c r="M13"/>
  <c r="O13" s="1"/>
  <c r="L13"/>
  <c r="K13" s="1"/>
  <c r="M12"/>
  <c r="O12" s="1"/>
  <c r="L12"/>
  <c r="K12" s="1"/>
  <c r="M11"/>
  <c r="O11" s="1"/>
  <c r="O14" s="1"/>
  <c r="L11"/>
  <c r="J5"/>
  <c r="BN122" i="4"/>
  <c r="BM122"/>
  <c r="BD122"/>
  <c r="AV122"/>
  <c r="AU122"/>
  <c r="AL122"/>
  <c r="AK122"/>
  <c r="C30" i="3"/>
  <c r="C29"/>
  <c r="BU103" i="4"/>
  <c r="X103"/>
  <c r="BQ103"/>
  <c r="BV103"/>
  <c r="BU102"/>
  <c r="BH102"/>
  <c r="X102"/>
  <c r="BV102"/>
  <c r="BU101"/>
  <c r="X101"/>
  <c r="BR101"/>
  <c r="BS101" s="1"/>
  <c r="BV101"/>
  <c r="BU100"/>
  <c r="BH100"/>
  <c r="X100"/>
  <c r="BV100"/>
  <c r="BU99"/>
  <c r="X99"/>
  <c r="BR99"/>
  <c r="BS99" s="1"/>
  <c r="BV99"/>
  <c r="BU98"/>
  <c r="BH98"/>
  <c r="X98"/>
  <c r="BV98"/>
  <c r="BU97"/>
  <c r="X97"/>
  <c r="BR97"/>
  <c r="BV97"/>
  <c r="BU96"/>
  <c r="X96"/>
  <c r="BV96"/>
  <c r="BU95"/>
  <c r="X95"/>
  <c r="BR95"/>
  <c r="BV95"/>
  <c r="BU92"/>
  <c r="BH92" s="1"/>
  <c r="X92"/>
  <c r="BR92"/>
  <c r="BS92" s="1"/>
  <c r="BV92"/>
  <c r="BU91"/>
  <c r="BH91"/>
  <c r="X91"/>
  <c r="BV91"/>
  <c r="BU90"/>
  <c r="BH90"/>
  <c r="X90"/>
  <c r="BQ90"/>
  <c r="BF90" s="1"/>
  <c r="BV90"/>
  <c r="BU89"/>
  <c r="X89"/>
  <c r="BV89"/>
  <c r="BU88"/>
  <c r="BH88"/>
  <c r="X88"/>
  <c r="BR88"/>
  <c r="BS88" s="1"/>
  <c r="BV88"/>
  <c r="BU87"/>
  <c r="X87"/>
  <c r="BV87"/>
  <c r="BU86"/>
  <c r="BH86"/>
  <c r="X86"/>
  <c r="BQ86"/>
  <c r="BF86" s="1"/>
  <c r="BV86"/>
  <c r="BU85"/>
  <c r="X85"/>
  <c r="BV85"/>
  <c r="BW84"/>
  <c r="BW83"/>
  <c r="BW82"/>
  <c r="BW81"/>
  <c r="BW80"/>
  <c r="BW79"/>
  <c r="BW78"/>
  <c r="BW77"/>
  <c r="BW76"/>
  <c r="BW75"/>
  <c r="BW74"/>
  <c r="BW73"/>
  <c r="BW72"/>
  <c r="BW71"/>
  <c r="BV69"/>
  <c r="BV67"/>
  <c r="BV66"/>
  <c r="BV63"/>
  <c r="BV60"/>
  <c r="BV59"/>
  <c r="BV44"/>
  <c r="BV43"/>
  <c r="BV42"/>
  <c r="BV36"/>
  <c r="BU32"/>
  <c r="BU31"/>
  <c r="BV31"/>
  <c r="BU30"/>
  <c r="BW30"/>
  <c r="BV30"/>
  <c r="BU29"/>
  <c r="BV29"/>
  <c r="BU28"/>
  <c r="BV28"/>
  <c r="BU27"/>
  <c r="BV27"/>
  <c r="BW26"/>
  <c r="BU25"/>
  <c r="BV25"/>
  <c r="BU24"/>
  <c r="BV24"/>
  <c r="BU23"/>
  <c r="BV23"/>
  <c r="BU22"/>
  <c r="BV22"/>
  <c r="BU21"/>
  <c r="BV21"/>
  <c r="BU20"/>
  <c r="BV20"/>
  <c r="BU19"/>
  <c r="BV19"/>
  <c r="BU18"/>
  <c r="BV18"/>
  <c r="BU17"/>
  <c r="BV17"/>
  <c r="BU16"/>
  <c r="BV16"/>
  <c r="BU15"/>
  <c r="M15"/>
  <c r="BV15"/>
  <c r="BU14"/>
  <c r="M14"/>
  <c r="BV14"/>
  <c r="BU13"/>
  <c r="M13"/>
  <c r="BV13"/>
  <c r="BU12"/>
  <c r="BC10"/>
  <c r="AJ10"/>
  <c r="C1" i="3"/>
  <c r="O13" i="2"/>
  <c r="I13"/>
  <c r="N13" s="1"/>
  <c r="F13"/>
  <c r="M13" s="1"/>
  <c r="O12"/>
  <c r="I12"/>
  <c r="N12" s="1"/>
  <c r="F12"/>
  <c r="J12" s="1"/>
  <c r="O11"/>
  <c r="I11"/>
  <c r="N11" s="1"/>
  <c r="F11"/>
  <c r="M11" s="1"/>
  <c r="O10"/>
  <c r="I10"/>
  <c r="F10"/>
  <c r="J10" s="1"/>
  <c r="H14"/>
  <c r="D14"/>
  <c r="C14"/>
  <c r="H35" i="1"/>
  <c r="H36" s="1"/>
  <c r="H7" i="2" s="1"/>
  <c r="I8" i="1"/>
  <c r="I9" s="1"/>
  <c r="E35"/>
  <c r="G36" s="1"/>
  <c r="F8"/>
  <c r="G9" s="1"/>
  <c r="D35"/>
  <c r="D36" s="1"/>
  <c r="E8"/>
  <c r="E9" s="1"/>
  <c r="C35"/>
  <c r="C36" s="1"/>
  <c r="D8"/>
  <c r="D9" s="1"/>
  <c r="C9"/>
  <c r="J196"/>
  <c r="I196"/>
  <c r="H196"/>
  <c r="G196"/>
  <c r="F196"/>
  <c r="E196"/>
  <c r="K171"/>
  <c r="C171"/>
  <c r="K170"/>
  <c r="C170"/>
  <c r="K169"/>
  <c r="C169"/>
  <c r="K168"/>
  <c r="C168"/>
  <c r="K167"/>
  <c r="C167"/>
  <c r="K166"/>
  <c r="C166"/>
  <c r="K165"/>
  <c r="C165"/>
  <c r="K164"/>
  <c r="C164"/>
  <c r="K163"/>
  <c r="C163"/>
  <c r="K162"/>
  <c r="C162"/>
  <c r="K161"/>
  <c r="C161"/>
  <c r="K160"/>
  <c r="C160"/>
  <c r="K159"/>
  <c r="C159"/>
  <c r="K158"/>
  <c r="C158"/>
  <c r="K157"/>
  <c r="C157"/>
  <c r="K156"/>
  <c r="C156"/>
  <c r="J152"/>
  <c r="I152"/>
  <c r="H152"/>
  <c r="G152"/>
  <c r="F152"/>
  <c r="E152"/>
  <c r="K127"/>
  <c r="C127"/>
  <c r="B127"/>
  <c r="K126"/>
  <c r="C126"/>
  <c r="B126"/>
  <c r="K125"/>
  <c r="C125"/>
  <c r="B125"/>
  <c r="K124"/>
  <c r="C124"/>
  <c r="B124"/>
  <c r="K123"/>
  <c r="C123"/>
  <c r="B123"/>
  <c r="K122"/>
  <c r="C122"/>
  <c r="B122"/>
  <c r="K121"/>
  <c r="C121"/>
  <c r="B121"/>
  <c r="K120"/>
  <c r="C120"/>
  <c r="B120"/>
  <c r="K119"/>
  <c r="C119"/>
  <c r="B119"/>
  <c r="K118"/>
  <c r="C118"/>
  <c r="B118"/>
  <c r="K117"/>
  <c r="C117"/>
  <c r="B117"/>
  <c r="K116"/>
  <c r="C116"/>
  <c r="B116"/>
  <c r="K115"/>
  <c r="C115"/>
  <c r="B115"/>
  <c r="K114"/>
  <c r="C114"/>
  <c r="B114"/>
  <c r="K113"/>
  <c r="C113"/>
  <c r="B113"/>
  <c r="K112"/>
  <c r="C112"/>
  <c r="B112"/>
  <c r="I53"/>
  <c r="G53"/>
  <c r="D53"/>
  <c r="B53"/>
  <c r="J52"/>
  <c r="H52"/>
  <c r="E52"/>
  <c r="C52"/>
  <c r="J51"/>
  <c r="H51"/>
  <c r="E51"/>
  <c r="C51"/>
  <c r="J50"/>
  <c r="H50"/>
  <c r="E50"/>
  <c r="C50"/>
  <c r="J49"/>
  <c r="J53" s="1"/>
  <c r="H49"/>
  <c r="H53" s="1"/>
  <c r="E49"/>
  <c r="E53" s="1"/>
  <c r="C49"/>
  <c r="H43"/>
  <c r="E43"/>
  <c r="D43"/>
  <c r="C43"/>
  <c r="G42"/>
  <c r="E13" i="2" s="1"/>
  <c r="G41" i="1"/>
  <c r="E12" i="2" s="1"/>
  <c r="G40" i="1"/>
  <c r="E11" i="2" s="1"/>
  <c r="G39" i="1"/>
  <c r="E10" i="2" s="1"/>
  <c r="F38" i="1"/>
  <c r="F43" s="1"/>
  <c r="I30"/>
  <c r="G30"/>
  <c r="F30"/>
  <c r="E30"/>
  <c r="D30"/>
  <c r="C30"/>
  <c r="H29"/>
  <c r="H28"/>
  <c r="H27"/>
  <c r="H26"/>
  <c r="H25"/>
  <c r="I24"/>
  <c r="I31" s="1"/>
  <c r="G24"/>
  <c r="F24"/>
  <c r="E24"/>
  <c r="D24"/>
  <c r="C24"/>
  <c r="H23"/>
  <c r="H22"/>
  <c r="H21"/>
  <c r="H20"/>
  <c r="H19"/>
  <c r="H18"/>
  <c r="H17"/>
  <c r="H16"/>
  <c r="I14"/>
  <c r="I32" s="1"/>
  <c r="G14"/>
  <c r="F14"/>
  <c r="E14"/>
  <c r="D14"/>
  <c r="C14"/>
  <c r="H13"/>
  <c r="H12"/>
  <c r="H14"/>
  <c r="C2"/>
  <c r="H16" i="6" s="1"/>
  <c r="S1" i="7" l="1"/>
  <c r="H1" i="22"/>
  <c r="A4" i="23"/>
  <c r="Q1" i="15"/>
  <c r="F1" i="16"/>
  <c r="F1" i="12"/>
  <c r="I1" i="21"/>
  <c r="E1" i="19"/>
  <c r="I1" i="17"/>
  <c r="O1" i="11"/>
  <c r="G1" i="10"/>
  <c r="P1"/>
  <c r="M1" i="9"/>
  <c r="G1" i="8"/>
  <c r="B10" s="1"/>
  <c r="A2" i="18"/>
  <c r="A2" i="17"/>
  <c r="J3" i="10"/>
  <c r="A3"/>
  <c r="L14" i="5"/>
  <c r="L31" i="4"/>
  <c r="AO97"/>
  <c r="BG97"/>
  <c r="M26"/>
  <c r="D51"/>
  <c r="H66"/>
  <c r="H41"/>
  <c r="AH41" s="1"/>
  <c r="D58"/>
  <c r="G35"/>
  <c r="D52"/>
  <c r="H67"/>
  <c r="AH67" s="1"/>
  <c r="H44"/>
  <c r="H60"/>
  <c r="AH60" s="1"/>
  <c r="D50"/>
  <c r="H65"/>
  <c r="I65" s="1"/>
  <c r="D60" i="14" s="1"/>
  <c r="F60" s="1"/>
  <c r="H42" i="4"/>
  <c r="H58"/>
  <c r="AH58" s="1"/>
  <c r="H36"/>
  <c r="AE36" s="1"/>
  <c r="H62"/>
  <c r="AH62" s="1"/>
  <c r="B171" i="1"/>
  <c r="K23" i="10" s="1"/>
  <c r="R23" s="1"/>
  <c r="B23"/>
  <c r="I23" s="1"/>
  <c r="B170" i="1"/>
  <c r="K22" i="10" s="1"/>
  <c r="R22" s="1"/>
  <c r="B22"/>
  <c r="I22" s="1"/>
  <c r="B169" i="1"/>
  <c r="K21" i="10" s="1"/>
  <c r="R21" s="1"/>
  <c r="B21"/>
  <c r="I21" s="1"/>
  <c r="B168" i="1"/>
  <c r="K20" i="10" s="1"/>
  <c r="R20" s="1"/>
  <c r="B20"/>
  <c r="I20" s="1"/>
  <c r="B167" i="1"/>
  <c r="K19" i="10" s="1"/>
  <c r="R19" s="1"/>
  <c r="B19"/>
  <c r="I19" s="1"/>
  <c r="B166" i="1"/>
  <c r="K18" i="10" s="1"/>
  <c r="R18" s="1"/>
  <c r="B18"/>
  <c r="I18" s="1"/>
  <c r="B165" i="1"/>
  <c r="K17" i="10" s="1"/>
  <c r="R17" s="1"/>
  <c r="B17"/>
  <c r="I17" s="1"/>
  <c r="B164" i="1"/>
  <c r="K16" i="10" s="1"/>
  <c r="R16" s="1"/>
  <c r="B16"/>
  <c r="I16" s="1"/>
  <c r="B162" i="1"/>
  <c r="K14" i="10" s="1"/>
  <c r="R14" s="1"/>
  <c r="B14"/>
  <c r="I14" s="1"/>
  <c r="B163" i="1"/>
  <c r="K15" i="10" s="1"/>
  <c r="R15" s="1"/>
  <c r="B15"/>
  <c r="I15" s="1"/>
  <c r="B161" i="1"/>
  <c r="K13" i="10" s="1"/>
  <c r="R13" s="1"/>
  <c r="B13"/>
  <c r="I13" s="1"/>
  <c r="B160" i="1"/>
  <c r="K12" i="10" s="1"/>
  <c r="R12" s="1"/>
  <c r="B12"/>
  <c r="I12" s="1"/>
  <c r="B159" i="1"/>
  <c r="K11" i="10" s="1"/>
  <c r="R11" s="1"/>
  <c r="B11"/>
  <c r="I11" s="1"/>
  <c r="B158" i="1"/>
  <c r="K10" i="10" s="1"/>
  <c r="R10" s="1"/>
  <c r="B10"/>
  <c r="I10" s="1"/>
  <c r="B157" i="1"/>
  <c r="K9" i="10" s="1"/>
  <c r="R9" s="1"/>
  <c r="B9"/>
  <c r="I9" s="1"/>
  <c r="A25" i="14"/>
  <c r="A26" s="1"/>
  <c r="B156" i="1"/>
  <c r="K8" i="10" s="1"/>
  <c r="R8" s="1"/>
  <c r="B8"/>
  <c r="I8" s="1"/>
  <c r="D47" i="4"/>
  <c r="D40"/>
  <c r="M93"/>
  <c r="M105" s="1"/>
  <c r="AX85"/>
  <c r="AY85"/>
  <c r="D55"/>
  <c r="E37"/>
  <c r="C38"/>
  <c r="B33" i="14" s="1"/>
  <c r="H70" i="4"/>
  <c r="AE70" s="1"/>
  <c r="H45"/>
  <c r="AF45" s="1"/>
  <c r="H40"/>
  <c r="AH40" s="1"/>
  <c r="H69"/>
  <c r="AF69" s="1"/>
  <c r="BY30"/>
  <c r="D56"/>
  <c r="D57"/>
  <c r="D54"/>
  <c r="H46"/>
  <c r="AH46" s="1"/>
  <c r="T33"/>
  <c r="W33"/>
  <c r="BU33" s="1"/>
  <c r="D68"/>
  <c r="X33"/>
  <c r="X34"/>
  <c r="T34"/>
  <c r="H53"/>
  <c r="AF53" s="1"/>
  <c r="D70"/>
  <c r="D48"/>
  <c r="H63"/>
  <c r="AH63" s="1"/>
  <c r="H48"/>
  <c r="AF48" s="1"/>
  <c r="D65"/>
  <c r="D46"/>
  <c r="D62"/>
  <c r="G38"/>
  <c r="H54"/>
  <c r="AH54" s="1"/>
  <c r="W34"/>
  <c r="BU34" s="1"/>
  <c r="AO113"/>
  <c r="BG113"/>
  <c r="AJ113"/>
  <c r="AS113" s="1"/>
  <c r="AT113" s="1"/>
  <c r="AW113" s="1"/>
  <c r="BH87"/>
  <c r="H56"/>
  <c r="AF56" s="1"/>
  <c r="D41"/>
  <c r="H55"/>
  <c r="AH55" s="1"/>
  <c r="D49"/>
  <c r="H39"/>
  <c r="AH39" s="1"/>
  <c r="BS97"/>
  <c r="AH97"/>
  <c r="AZ97"/>
  <c r="BH97"/>
  <c r="BJ97"/>
  <c r="W35"/>
  <c r="BU35" s="1"/>
  <c r="T36"/>
  <c r="X36"/>
  <c r="W37"/>
  <c r="BU37" s="1"/>
  <c r="T38"/>
  <c r="X38"/>
  <c r="W39"/>
  <c r="BU39" s="1"/>
  <c r="T40"/>
  <c r="X40"/>
  <c r="W41"/>
  <c r="BU41" s="1"/>
  <c r="T42"/>
  <c r="X42"/>
  <c r="W43"/>
  <c r="BU43" s="1"/>
  <c r="T44"/>
  <c r="X44"/>
  <c r="W45"/>
  <c r="BU45" s="1"/>
  <c r="T46"/>
  <c r="X46"/>
  <c r="W47"/>
  <c r="BU47" s="1"/>
  <c r="T48"/>
  <c r="X48"/>
  <c r="W49"/>
  <c r="BU49" s="1"/>
  <c r="T50"/>
  <c r="X50"/>
  <c r="W51"/>
  <c r="BU51" s="1"/>
  <c r="T52"/>
  <c r="X52"/>
  <c r="W53"/>
  <c r="BU53" s="1"/>
  <c r="T54"/>
  <c r="X54"/>
  <c r="W55"/>
  <c r="BU55" s="1"/>
  <c r="T56"/>
  <c r="X56"/>
  <c r="W57"/>
  <c r="BU57" s="1"/>
  <c r="T58"/>
  <c r="X58"/>
  <c r="W59"/>
  <c r="BU59" s="1"/>
  <c r="T60"/>
  <c r="X60"/>
  <c r="W61"/>
  <c r="BU61" s="1"/>
  <c r="T62"/>
  <c r="X62"/>
  <c r="W63"/>
  <c r="BU63" s="1"/>
  <c r="T64"/>
  <c r="X64"/>
  <c r="W65"/>
  <c r="BU65" s="1"/>
  <c r="T66"/>
  <c r="X66"/>
  <c r="W67"/>
  <c r="BU67" s="1"/>
  <c r="T68"/>
  <c r="X68"/>
  <c r="W69"/>
  <c r="BU69" s="1"/>
  <c r="T70"/>
  <c r="X70"/>
  <c r="T35"/>
  <c r="X35"/>
  <c r="W36"/>
  <c r="BU36" s="1"/>
  <c r="T37"/>
  <c r="X37"/>
  <c r="W38"/>
  <c r="BU38" s="1"/>
  <c r="T39"/>
  <c r="X39"/>
  <c r="W40"/>
  <c r="BU40" s="1"/>
  <c r="T41"/>
  <c r="X41"/>
  <c r="W42"/>
  <c r="BU42" s="1"/>
  <c r="T43"/>
  <c r="X43"/>
  <c r="W44"/>
  <c r="BU44" s="1"/>
  <c r="T45"/>
  <c r="X45"/>
  <c r="W46"/>
  <c r="BU46" s="1"/>
  <c r="T47"/>
  <c r="X47"/>
  <c r="W48"/>
  <c r="BU48" s="1"/>
  <c r="T49"/>
  <c r="X49"/>
  <c r="W50"/>
  <c r="BU50" s="1"/>
  <c r="T51"/>
  <c r="X51"/>
  <c r="W52"/>
  <c r="BU52" s="1"/>
  <c r="T53"/>
  <c r="X53"/>
  <c r="W54"/>
  <c r="BU54" s="1"/>
  <c r="T55"/>
  <c r="X55"/>
  <c r="W56"/>
  <c r="BU56" s="1"/>
  <c r="T57"/>
  <c r="X57"/>
  <c r="W58"/>
  <c r="BU58" s="1"/>
  <c r="T59"/>
  <c r="X59"/>
  <c r="W60"/>
  <c r="BU60" s="1"/>
  <c r="T61"/>
  <c r="X61"/>
  <c r="W62"/>
  <c r="BU62" s="1"/>
  <c r="T63"/>
  <c r="X63"/>
  <c r="W64"/>
  <c r="BU64" s="1"/>
  <c r="T65"/>
  <c r="X65"/>
  <c r="W66"/>
  <c r="BU66" s="1"/>
  <c r="T67"/>
  <c r="X67"/>
  <c r="W68"/>
  <c r="BU68" s="1"/>
  <c r="T69"/>
  <c r="X69"/>
  <c r="W70"/>
  <c r="BU70" s="1"/>
  <c r="H47"/>
  <c r="AF47" s="1"/>
  <c r="H59"/>
  <c r="AF59" s="1"/>
  <c r="D45"/>
  <c r="BG95"/>
  <c r="AO95"/>
  <c r="BG12"/>
  <c r="BG14"/>
  <c r="AO96"/>
  <c r="AO12"/>
  <c r="AO13"/>
  <c r="AO14"/>
  <c r="BG13"/>
  <c r="AO15"/>
  <c r="BG96"/>
  <c r="AO27"/>
  <c r="BG15"/>
  <c r="AO29"/>
  <c r="AO28"/>
  <c r="BH89"/>
  <c r="BH99"/>
  <c r="BH101"/>
  <c r="BH103"/>
  <c r="AO30"/>
  <c r="AO31"/>
  <c r="BJ96"/>
  <c r="BH96"/>
  <c r="BJ85"/>
  <c r="AJ85"/>
  <c r="BE85"/>
  <c r="AM85"/>
  <c r="BH95"/>
  <c r="BJ95"/>
  <c r="BS95"/>
  <c r="BF103"/>
  <c r="AY103"/>
  <c r="AG103"/>
  <c r="AF66"/>
  <c r="AH66"/>
  <c r="AJ66"/>
  <c r="AE66"/>
  <c r="AG66"/>
  <c r="AI66"/>
  <c r="AM66"/>
  <c r="AQ66"/>
  <c r="AF41"/>
  <c r="AJ41"/>
  <c r="AQ41"/>
  <c r="AG41"/>
  <c r="AF67"/>
  <c r="AQ67"/>
  <c r="AF44"/>
  <c r="AH44"/>
  <c r="AJ44"/>
  <c r="AE44"/>
  <c r="AG44"/>
  <c r="AI44"/>
  <c r="AM44"/>
  <c r="AQ44"/>
  <c r="AF60"/>
  <c r="AG60"/>
  <c r="AF65"/>
  <c r="AQ65"/>
  <c r="AF42"/>
  <c r="AH42"/>
  <c r="AJ42"/>
  <c r="AE42"/>
  <c r="AG42"/>
  <c r="AI42"/>
  <c r="AM42"/>
  <c r="AQ42"/>
  <c r="AF58"/>
  <c r="AG58"/>
  <c r="AF62"/>
  <c r="AG62"/>
  <c r="AH53"/>
  <c r="AM53"/>
  <c r="AE53"/>
  <c r="AI53"/>
  <c r="AF63"/>
  <c r="AH48"/>
  <c r="AE48"/>
  <c r="AI48"/>
  <c r="AQ48"/>
  <c r="AF54"/>
  <c r="AF39"/>
  <c r="AF49"/>
  <c r="AH49"/>
  <c r="AJ49"/>
  <c r="AM49"/>
  <c r="AQ49"/>
  <c r="AE49"/>
  <c r="AG49"/>
  <c r="AI49"/>
  <c r="AF52"/>
  <c r="AH52"/>
  <c r="AJ52"/>
  <c r="AE52"/>
  <c r="AG52"/>
  <c r="AI52"/>
  <c r="AM52"/>
  <c r="AQ52"/>
  <c r="AF57"/>
  <c r="AH57"/>
  <c r="AJ57"/>
  <c r="AM57"/>
  <c r="AQ57"/>
  <c r="AE57"/>
  <c r="AG57"/>
  <c r="AI57"/>
  <c r="AF50"/>
  <c r="AH50"/>
  <c r="AJ50"/>
  <c r="AE50"/>
  <c r="AG50"/>
  <c r="AI50"/>
  <c r="AM50"/>
  <c r="AQ50"/>
  <c r="AH70"/>
  <c r="AM70"/>
  <c r="AH45"/>
  <c r="AM45"/>
  <c r="AE45"/>
  <c r="AI45"/>
  <c r="AF61"/>
  <c r="AH61"/>
  <c r="AJ61"/>
  <c r="AM61"/>
  <c r="AQ61"/>
  <c r="AE61"/>
  <c r="AG61"/>
  <c r="AI61"/>
  <c r="AJ40"/>
  <c r="AM40"/>
  <c r="AH69"/>
  <c r="AM69"/>
  <c r="AE69"/>
  <c r="AI69"/>
  <c r="AJ46"/>
  <c r="AM46"/>
  <c r="AE47"/>
  <c r="AM59"/>
  <c r="AI59"/>
  <c r="D64"/>
  <c r="E34"/>
  <c r="H68"/>
  <c r="BG68" s="1"/>
  <c r="D61"/>
  <c r="H43"/>
  <c r="AO43" s="1"/>
  <c r="F12" i="6"/>
  <c r="L30" i="4"/>
  <c r="BG49"/>
  <c r="AO49"/>
  <c r="BG52"/>
  <c r="AO52"/>
  <c r="BG57"/>
  <c r="AO57"/>
  <c r="BG50"/>
  <c r="AO50"/>
  <c r="AO70"/>
  <c r="AO45"/>
  <c r="BG61"/>
  <c r="AO61"/>
  <c r="AO40"/>
  <c r="BG69"/>
  <c r="AO46"/>
  <c r="BG59"/>
  <c r="BG66"/>
  <c r="AO66"/>
  <c r="BG41"/>
  <c r="BG67"/>
  <c r="BG44"/>
  <c r="AO44"/>
  <c r="BG60"/>
  <c r="BG65"/>
  <c r="BG42"/>
  <c r="AO42"/>
  <c r="BG58"/>
  <c r="BG62"/>
  <c r="BG53"/>
  <c r="AO48"/>
  <c r="BG55"/>
  <c r="I49"/>
  <c r="D44" i="14" s="1"/>
  <c r="F44" s="1"/>
  <c r="K49" i="4"/>
  <c r="M49"/>
  <c r="J49"/>
  <c r="L49"/>
  <c r="I52"/>
  <c r="D47" i="14" s="1"/>
  <c r="F47" s="1"/>
  <c r="L52" i="4"/>
  <c r="K52"/>
  <c r="J52"/>
  <c r="M52"/>
  <c r="I57"/>
  <c r="D52" i="14" s="1"/>
  <c r="F52" s="1"/>
  <c r="K57" i="4"/>
  <c r="M57"/>
  <c r="J57"/>
  <c r="L57"/>
  <c r="I50"/>
  <c r="D45" i="14" s="1"/>
  <c r="F45" s="1"/>
  <c r="L50" i="4"/>
  <c r="J50"/>
  <c r="M50"/>
  <c r="K50"/>
  <c r="I36"/>
  <c r="D31" i="14" s="1"/>
  <c r="F31" s="1"/>
  <c r="I70" i="4"/>
  <c r="D65" i="14" s="1"/>
  <c r="F65" s="1"/>
  <c r="K70" i="4"/>
  <c r="K45"/>
  <c r="J45"/>
  <c r="I61"/>
  <c r="D56" i="14" s="1"/>
  <c r="F56" s="1"/>
  <c r="K61" i="4"/>
  <c r="M61"/>
  <c r="J61"/>
  <c r="L61"/>
  <c r="L40"/>
  <c r="K69"/>
  <c r="J69"/>
  <c r="L46"/>
  <c r="I56"/>
  <c r="D51" i="14" s="1"/>
  <c r="F51" s="1"/>
  <c r="M56" i="4"/>
  <c r="I59"/>
  <c r="D54" i="14" s="1"/>
  <c r="F54" s="1"/>
  <c r="M59" i="4"/>
  <c r="L59"/>
  <c r="C44"/>
  <c r="B39" i="14" s="1"/>
  <c r="N32" i="4"/>
  <c r="C42"/>
  <c r="B37" i="14" s="1"/>
  <c r="E53" i="4"/>
  <c r="C64"/>
  <c r="B59" i="14" s="1"/>
  <c r="H32" i="4"/>
  <c r="BW32" s="1"/>
  <c r="G41"/>
  <c r="E52"/>
  <c r="C63"/>
  <c r="B58" i="14" s="1"/>
  <c r="E33" i="4"/>
  <c r="F42"/>
  <c r="Y42" s="1"/>
  <c r="F50"/>
  <c r="C45" i="14" s="1"/>
  <c r="F58" i="4"/>
  <c r="AA58" s="1"/>
  <c r="F66"/>
  <c r="C61" i="14" s="1"/>
  <c r="F33" i="4"/>
  <c r="C28" i="14" s="1"/>
  <c r="G42" i="4"/>
  <c r="C54"/>
  <c r="B49" i="14" s="1"/>
  <c r="G64" i="4"/>
  <c r="D33"/>
  <c r="E42"/>
  <c r="C53"/>
  <c r="B48" i="14" s="1"/>
  <c r="G63" i="4"/>
  <c r="C34"/>
  <c r="B29" i="14" s="1"/>
  <c r="N42" i="4"/>
  <c r="N50"/>
  <c r="N58"/>
  <c r="N66"/>
  <c r="D38"/>
  <c r="E49"/>
  <c r="C60"/>
  <c r="B55" i="14" s="1"/>
  <c r="G70" i="4"/>
  <c r="N37"/>
  <c r="E48"/>
  <c r="C59"/>
  <c r="B54" i="14" s="1"/>
  <c r="G69" i="4"/>
  <c r="F39"/>
  <c r="C34" i="14" s="1"/>
  <c r="F47" i="4"/>
  <c r="F55"/>
  <c r="C50" i="14" s="1"/>
  <c r="F63" i="4"/>
  <c r="H38"/>
  <c r="BW38" s="1"/>
  <c r="C50"/>
  <c r="B45" i="14" s="1"/>
  <c r="G60" i="4"/>
  <c r="F38"/>
  <c r="C33" i="14" s="1"/>
  <c r="C49" i="4"/>
  <c r="B44" i="14" s="1"/>
  <c r="G59" i="4"/>
  <c r="E70"/>
  <c r="G37"/>
  <c r="N45"/>
  <c r="N53"/>
  <c r="N61"/>
  <c r="N69"/>
  <c r="E39"/>
  <c r="G50"/>
  <c r="E61"/>
  <c r="C39"/>
  <c r="B34" i="14" s="1"/>
  <c r="G49" i="4"/>
  <c r="E60"/>
  <c r="F40"/>
  <c r="C35" i="14" s="1"/>
  <c r="F48" i="4"/>
  <c r="F56"/>
  <c r="C51" i="14" s="1"/>
  <c r="F64" i="4"/>
  <c r="C59" i="14" s="1"/>
  <c r="C40" i="4"/>
  <c r="B35" i="14" s="1"/>
  <c r="E51" i="4"/>
  <c r="C62"/>
  <c r="B57" i="14" s="1"/>
  <c r="G39" i="4"/>
  <c r="E50"/>
  <c r="C61"/>
  <c r="B56" i="14" s="1"/>
  <c r="N40" i="4"/>
  <c r="N48"/>
  <c r="N56"/>
  <c r="N64"/>
  <c r="C36"/>
  <c r="B31" i="14" s="1"/>
  <c r="G46" i="4"/>
  <c r="E57"/>
  <c r="C68"/>
  <c r="B63" i="14" s="1"/>
  <c r="H35" i="4"/>
  <c r="G45"/>
  <c r="E56"/>
  <c r="C67"/>
  <c r="B62" i="14" s="1"/>
  <c r="C37" i="4"/>
  <c r="B32" i="14" s="1"/>
  <c r="F45" i="4"/>
  <c r="AC45" s="1"/>
  <c r="F53"/>
  <c r="C48" i="14" s="1"/>
  <c r="F61" i="4"/>
  <c r="F69"/>
  <c r="C64" i="14" s="1"/>
  <c r="G36" i="4"/>
  <c r="E47"/>
  <c r="C58"/>
  <c r="B53" i="14" s="1"/>
  <c r="G68" i="4"/>
  <c r="E36"/>
  <c r="E46"/>
  <c r="C57"/>
  <c r="B52" i="14" s="1"/>
  <c r="G67" i="4"/>
  <c r="E35"/>
  <c r="N43"/>
  <c r="N51"/>
  <c r="N59"/>
  <c r="N67"/>
  <c r="G51"/>
  <c r="N47"/>
  <c r="N63"/>
  <c r="N34"/>
  <c r="D37"/>
  <c r="C48"/>
  <c r="B43" i="14" s="1"/>
  <c r="G58" i="4"/>
  <c r="E69"/>
  <c r="N36"/>
  <c r="C47"/>
  <c r="B42" i="14" s="1"/>
  <c r="G57" i="4"/>
  <c r="E68"/>
  <c r="E38"/>
  <c r="F46"/>
  <c r="F54"/>
  <c r="C49" i="14" s="1"/>
  <c r="F62" i="4"/>
  <c r="S62" s="1"/>
  <c r="F70"/>
  <c r="H37"/>
  <c r="BW37" s="1"/>
  <c r="G48"/>
  <c r="E59"/>
  <c r="C70"/>
  <c r="B65" i="14" s="1"/>
  <c r="F37" i="4"/>
  <c r="Y37" s="1"/>
  <c r="G47"/>
  <c r="E58"/>
  <c r="C69"/>
  <c r="B64" i="14" s="1"/>
  <c r="N38" i="4"/>
  <c r="N46"/>
  <c r="N54"/>
  <c r="N62"/>
  <c r="N70"/>
  <c r="N33"/>
  <c r="E43"/>
  <c r="G54"/>
  <c r="E65"/>
  <c r="H33"/>
  <c r="C43"/>
  <c r="B38" i="14" s="1"/>
  <c r="G53" i="4"/>
  <c r="E64"/>
  <c r="H34"/>
  <c r="BW34" s="1"/>
  <c r="F43"/>
  <c r="F51"/>
  <c r="C46" i="14" s="1"/>
  <c r="F59" i="4"/>
  <c r="Z59" s="1"/>
  <c r="F67"/>
  <c r="C62" i="14" s="1"/>
  <c r="F34" i="4"/>
  <c r="C29" i="14" s="1"/>
  <c r="G44" i="4"/>
  <c r="E55"/>
  <c r="C66"/>
  <c r="B61" i="14" s="1"/>
  <c r="D34" i="4"/>
  <c r="G43"/>
  <c r="E54"/>
  <c r="C65"/>
  <c r="B60" i="14" s="1"/>
  <c r="G32" i="4"/>
  <c r="N41"/>
  <c r="N49"/>
  <c r="N57"/>
  <c r="N65"/>
  <c r="D39"/>
  <c r="E45"/>
  <c r="C56"/>
  <c r="B51" i="14" s="1"/>
  <c r="G66" i="4"/>
  <c r="G34"/>
  <c r="E44"/>
  <c r="C55"/>
  <c r="B50" i="14" s="1"/>
  <c r="G65" i="4"/>
  <c r="N35"/>
  <c r="F44"/>
  <c r="F52"/>
  <c r="F60"/>
  <c r="Y60" s="1"/>
  <c r="F68"/>
  <c r="F35"/>
  <c r="C30" i="14" s="1"/>
  <c r="C46" i="4"/>
  <c r="B41" i="14" s="1"/>
  <c r="G56" i="4"/>
  <c r="E67"/>
  <c r="D35"/>
  <c r="C45"/>
  <c r="B40" i="14" s="1"/>
  <c r="G55" i="4"/>
  <c r="E66"/>
  <c r="F36"/>
  <c r="N44"/>
  <c r="N52"/>
  <c r="N60"/>
  <c r="N68"/>
  <c r="G40"/>
  <c r="C52"/>
  <c r="B47" i="14" s="1"/>
  <c r="G62" i="4"/>
  <c r="E40"/>
  <c r="C51"/>
  <c r="B46" i="14" s="1"/>
  <c r="G61" i="4"/>
  <c r="C32"/>
  <c r="B27" i="14" s="1"/>
  <c r="F41" i="4"/>
  <c r="S41" s="1"/>
  <c r="F49"/>
  <c r="F57"/>
  <c r="F65"/>
  <c r="F32"/>
  <c r="E41"/>
  <c r="G52"/>
  <c r="E63"/>
  <c r="D32"/>
  <c r="C41"/>
  <c r="B36" i="14" s="1"/>
  <c r="E62" i="4"/>
  <c r="N39"/>
  <c r="BP39" s="1"/>
  <c r="BQ39" s="1"/>
  <c r="N55"/>
  <c r="I66"/>
  <c r="D61" i="14" s="1"/>
  <c r="F61" s="1"/>
  <c r="L66" i="4"/>
  <c r="J66"/>
  <c r="M66"/>
  <c r="K66"/>
  <c r="I41"/>
  <c r="D36" i="14" s="1"/>
  <c r="F36" s="1"/>
  <c r="K41" i="4"/>
  <c r="M41"/>
  <c r="J41"/>
  <c r="L41"/>
  <c r="I67"/>
  <c r="D62" i="14" s="1"/>
  <c r="F62" s="1"/>
  <c r="K67" i="4"/>
  <c r="M67"/>
  <c r="J67"/>
  <c r="L67"/>
  <c r="I44"/>
  <c r="D39" i="14" s="1"/>
  <c r="F39" s="1"/>
  <c r="L44" i="4"/>
  <c r="K44"/>
  <c r="J44"/>
  <c r="M44"/>
  <c r="I60"/>
  <c r="D55" i="14" s="1"/>
  <c r="F55" s="1"/>
  <c r="L60" i="4"/>
  <c r="K60"/>
  <c r="J60"/>
  <c r="M60"/>
  <c r="K65"/>
  <c r="M65"/>
  <c r="J65"/>
  <c r="L65"/>
  <c r="I42"/>
  <c r="D37" i="14" s="1"/>
  <c r="F37" s="1"/>
  <c r="L42" i="4"/>
  <c r="J42"/>
  <c r="M42"/>
  <c r="K42"/>
  <c r="I58"/>
  <c r="D53" i="14" s="1"/>
  <c r="F53" s="1"/>
  <c r="L58" i="4"/>
  <c r="M58"/>
  <c r="J58"/>
  <c r="K58"/>
  <c r="I62"/>
  <c r="D57" i="14" s="1"/>
  <c r="F57" s="1"/>
  <c r="L62" i="4"/>
  <c r="M62"/>
  <c r="J62"/>
  <c r="K62"/>
  <c r="I53"/>
  <c r="D48" i="14" s="1"/>
  <c r="F48" s="1"/>
  <c r="K53" i="4"/>
  <c r="M53"/>
  <c r="J53"/>
  <c r="L53"/>
  <c r="K63"/>
  <c r="J63"/>
  <c r="I48"/>
  <c r="D43" i="14" s="1"/>
  <c r="F43" s="1"/>
  <c r="L48" i="4"/>
  <c r="K48"/>
  <c r="J48"/>
  <c r="M48"/>
  <c r="J54"/>
  <c r="M39"/>
  <c r="K55"/>
  <c r="D53"/>
  <c r="H64"/>
  <c r="C35"/>
  <c r="B30" i="14" s="1"/>
  <c r="H51" i="4"/>
  <c r="K11" i="5"/>
  <c r="H12" i="6"/>
  <c r="F49" i="1"/>
  <c r="F50"/>
  <c r="K50"/>
  <c r="F51"/>
  <c r="K51"/>
  <c r="F52"/>
  <c r="K52"/>
  <c r="K152"/>
  <c r="K196"/>
  <c r="B12" i="6"/>
  <c r="I8"/>
  <c r="I12" s="1"/>
  <c r="L10"/>
  <c r="H24" i="1"/>
  <c r="C31"/>
  <c r="C32" s="1"/>
  <c r="E31"/>
  <c r="E32" s="1"/>
  <c r="G31"/>
  <c r="G32" s="1"/>
  <c r="H30"/>
  <c r="D31"/>
  <c r="D32" s="1"/>
  <c r="F31"/>
  <c r="G38"/>
  <c r="A2" i="3"/>
  <c r="A2" i="6" s="1"/>
  <c r="G9" i="2"/>
  <c r="I9" s="1"/>
  <c r="I14" s="1"/>
  <c r="B49" i="3"/>
  <c r="F32" i="1"/>
  <c r="F53"/>
  <c r="K49"/>
  <c r="K10" i="6"/>
  <c r="L17" i="2"/>
  <c r="L124" i="4"/>
  <c r="L9" i="6"/>
  <c r="K11"/>
  <c r="K9"/>
  <c r="L11"/>
  <c r="G12"/>
  <c r="L1" i="2"/>
  <c r="D7"/>
  <c r="F7"/>
  <c r="I4" s="1"/>
  <c r="D12" i="6"/>
  <c r="C7" i="2"/>
  <c r="E7"/>
  <c r="E12" i="6"/>
  <c r="H1"/>
  <c r="L1" i="4"/>
  <c r="P1" i="5"/>
  <c r="J11"/>
  <c r="J13"/>
  <c r="J17"/>
  <c r="K18"/>
  <c r="J21"/>
  <c r="J23"/>
  <c r="J25"/>
  <c r="J27"/>
  <c r="R27"/>
  <c r="J19"/>
  <c r="K20"/>
  <c r="J22"/>
  <c r="C41" i="3"/>
  <c r="J12" i="5"/>
  <c r="M18"/>
  <c r="N18" s="1"/>
  <c r="R20"/>
  <c r="J28"/>
  <c r="B41" i="3"/>
  <c r="B45" s="1"/>
  <c r="AD25" i="4"/>
  <c r="AD30"/>
  <c r="BB10"/>
  <c r="AD13"/>
  <c r="AD15"/>
  <c r="AD17"/>
  <c r="AD19"/>
  <c r="AD21"/>
  <c r="AD23"/>
  <c r="BR25"/>
  <c r="BS25" s="1"/>
  <c r="AD28"/>
  <c r="AD31"/>
  <c r="AD39"/>
  <c r="AD67"/>
  <c r="BQ88"/>
  <c r="BF88" s="1"/>
  <c r="BQ92"/>
  <c r="BF92" s="1"/>
  <c r="BR103"/>
  <c r="BS103" s="1"/>
  <c r="Z13"/>
  <c r="Z15"/>
  <c r="Z17"/>
  <c r="Z19"/>
  <c r="Z21"/>
  <c r="Z23"/>
  <c r="Z25"/>
  <c r="Z28"/>
  <c r="Z30"/>
  <c r="Z31"/>
  <c r="Z39"/>
  <c r="Z55"/>
  <c r="BR85"/>
  <c r="BR86"/>
  <c r="BS86" s="1"/>
  <c r="BR90"/>
  <c r="BS90" s="1"/>
  <c r="BR13"/>
  <c r="BR15"/>
  <c r="AZ15" s="1"/>
  <c r="BR17"/>
  <c r="BS17" s="1"/>
  <c r="BR19"/>
  <c r="BS19" s="1"/>
  <c r="BR21"/>
  <c r="BS21" s="1"/>
  <c r="BR23"/>
  <c r="BS23" s="1"/>
  <c r="BR28"/>
  <c r="BR30"/>
  <c r="BS30" s="1"/>
  <c r="BR31"/>
  <c r="BS31" s="1"/>
  <c r="AI31" s="1"/>
  <c r="BQ95"/>
  <c r="AN95" s="1"/>
  <c r="BW96"/>
  <c r="BQ97"/>
  <c r="AN97" s="1"/>
  <c r="BW98"/>
  <c r="BQ99"/>
  <c r="AN99" s="1"/>
  <c r="BW100"/>
  <c r="BQ101"/>
  <c r="AN101" s="1"/>
  <c r="BW102"/>
  <c r="K8" i="6"/>
  <c r="C12"/>
  <c r="Q12" i="5"/>
  <c r="Q13"/>
  <c r="Q17"/>
  <c r="Q23"/>
  <c r="Q25"/>
  <c r="Q19"/>
  <c r="Q26"/>
  <c r="P11"/>
  <c r="R11"/>
  <c r="P12"/>
  <c r="R12"/>
  <c r="P13"/>
  <c r="R13"/>
  <c r="M14"/>
  <c r="Q16"/>
  <c r="P17"/>
  <c r="Q18"/>
  <c r="P19"/>
  <c r="O20"/>
  <c r="Q20"/>
  <c r="Q21"/>
  <c r="Q22"/>
  <c r="P23"/>
  <c r="P25"/>
  <c r="K26"/>
  <c r="M26"/>
  <c r="R26" s="1"/>
  <c r="P26"/>
  <c r="O27"/>
  <c r="Q27"/>
  <c r="Q28"/>
  <c r="Q29"/>
  <c r="Q11"/>
  <c r="K16"/>
  <c r="M16"/>
  <c r="R16" s="1"/>
  <c r="P16"/>
  <c r="K17"/>
  <c r="M17"/>
  <c r="P18"/>
  <c r="K19"/>
  <c r="M19"/>
  <c r="R19" s="1"/>
  <c r="P20"/>
  <c r="K21"/>
  <c r="M21"/>
  <c r="O21" s="1"/>
  <c r="P21"/>
  <c r="K22"/>
  <c r="M22"/>
  <c r="O22" s="1"/>
  <c r="P22"/>
  <c r="K23"/>
  <c r="M23"/>
  <c r="K25"/>
  <c r="M25"/>
  <c r="C39" i="3" s="1"/>
  <c r="P27" i="5"/>
  <c r="K28"/>
  <c r="M28"/>
  <c r="P28"/>
  <c r="K29"/>
  <c r="M29"/>
  <c r="P29"/>
  <c r="BH16" i="4"/>
  <c r="BH18"/>
  <c r="BH20"/>
  <c r="BJ22"/>
  <c r="BH24"/>
  <c r="BC12"/>
  <c r="BJ17"/>
  <c r="AC18"/>
  <c r="AA18"/>
  <c r="Y18"/>
  <c r="BJ21"/>
  <c r="AC22"/>
  <c r="AA22"/>
  <c r="Y22"/>
  <c r="BJ25"/>
  <c r="AC27"/>
  <c r="AA27"/>
  <c r="Y27"/>
  <c r="AC29"/>
  <c r="AA29"/>
  <c r="Y29"/>
  <c r="BJ30"/>
  <c r="Y38"/>
  <c r="AA40"/>
  <c r="AD40"/>
  <c r="Z46"/>
  <c r="AC50"/>
  <c r="Y50"/>
  <c r="Z50"/>
  <c r="AC56"/>
  <c r="Y56"/>
  <c r="Z56"/>
  <c r="AD62"/>
  <c r="AC66"/>
  <c r="Y66"/>
  <c r="Z66"/>
  <c r="BR87"/>
  <c r="BS87" s="1"/>
  <c r="BQ87"/>
  <c r="BF87" s="1"/>
  <c r="BW88"/>
  <c r="AR88"/>
  <c r="BR91"/>
  <c r="BS91" s="1"/>
  <c r="BQ91"/>
  <c r="BF91" s="1"/>
  <c r="BW92"/>
  <c r="AR92"/>
  <c r="AB18"/>
  <c r="AB22"/>
  <c r="AB27"/>
  <c r="BW27"/>
  <c r="AB29"/>
  <c r="BW29"/>
  <c r="BW36"/>
  <c r="BW40"/>
  <c r="BW42"/>
  <c r="BW44"/>
  <c r="BW48"/>
  <c r="BW50"/>
  <c r="BW52"/>
  <c r="BW56"/>
  <c r="BW58"/>
  <c r="BW60"/>
  <c r="BW62"/>
  <c r="BW66"/>
  <c r="BW70"/>
  <c r="AC14"/>
  <c r="AA14"/>
  <c r="Y14"/>
  <c r="AC16"/>
  <c r="AA16"/>
  <c r="Y16"/>
  <c r="AC20"/>
  <c r="AA20"/>
  <c r="Y20"/>
  <c r="BJ23"/>
  <c r="AC24"/>
  <c r="AA24"/>
  <c r="Y24"/>
  <c r="AC13"/>
  <c r="AA13"/>
  <c r="Y13"/>
  <c r="AC15"/>
  <c r="AA15"/>
  <c r="Y15"/>
  <c r="AC17"/>
  <c r="AA17"/>
  <c r="Y17"/>
  <c r="AC19"/>
  <c r="AA19"/>
  <c r="Y19"/>
  <c r="AC21"/>
  <c r="AA21"/>
  <c r="Y21"/>
  <c r="AC23"/>
  <c r="AA23"/>
  <c r="Y23"/>
  <c r="AC25"/>
  <c r="AA25"/>
  <c r="Y25"/>
  <c r="AC28"/>
  <c r="AA28"/>
  <c r="Y28"/>
  <c r="AC30"/>
  <c r="AA30"/>
  <c r="Y30"/>
  <c r="BH31"/>
  <c r="BW86"/>
  <c r="AR86"/>
  <c r="BR89"/>
  <c r="BS89" s="1"/>
  <c r="BQ89"/>
  <c r="BF89" s="1"/>
  <c r="BW90"/>
  <c r="AR90"/>
  <c r="AB14"/>
  <c r="AB16"/>
  <c r="AB20"/>
  <c r="AB24"/>
  <c r="BU122"/>
  <c r="AB13"/>
  <c r="BR14"/>
  <c r="AZ14" s="1"/>
  <c r="Z14"/>
  <c r="AD14"/>
  <c r="AB15"/>
  <c r="BR16"/>
  <c r="BS16" s="1"/>
  <c r="Z16"/>
  <c r="AD16"/>
  <c r="AB17"/>
  <c r="BR18"/>
  <c r="BS18" s="1"/>
  <c r="Z18"/>
  <c r="AD18"/>
  <c r="AB19"/>
  <c r="BR20"/>
  <c r="BS20" s="1"/>
  <c r="Z20"/>
  <c r="AD20"/>
  <c r="AB21"/>
  <c r="BR22"/>
  <c r="BS22" s="1"/>
  <c r="Z22"/>
  <c r="AD22"/>
  <c r="AB23"/>
  <c r="BR24"/>
  <c r="BS24" s="1"/>
  <c r="Z24"/>
  <c r="AD24"/>
  <c r="AB25"/>
  <c r="BR27"/>
  <c r="Z27"/>
  <c r="AD27"/>
  <c r="AB28"/>
  <c r="BW28"/>
  <c r="BR29"/>
  <c r="Z29"/>
  <c r="AD29"/>
  <c r="AB30"/>
  <c r="AB40"/>
  <c r="AB50"/>
  <c r="AB56"/>
  <c r="AN86"/>
  <c r="AN90"/>
  <c r="AC31"/>
  <c r="AA31"/>
  <c r="Y31"/>
  <c r="AA39"/>
  <c r="AA53"/>
  <c r="AC55"/>
  <c r="Y55"/>
  <c r="AC63"/>
  <c r="AC69"/>
  <c r="Y69"/>
  <c r="AB31"/>
  <c r="BW31"/>
  <c r="BW39"/>
  <c r="BW41"/>
  <c r="BW45"/>
  <c r="BW49"/>
  <c r="BW53"/>
  <c r="BW55"/>
  <c r="BW57"/>
  <c r="BW59"/>
  <c r="BW61"/>
  <c r="AB63"/>
  <c r="BW63"/>
  <c r="BR64"/>
  <c r="BS64" s="1"/>
  <c r="BW65"/>
  <c r="BW67"/>
  <c r="BW69"/>
  <c r="S13"/>
  <c r="BP13"/>
  <c r="S14"/>
  <c r="BP14"/>
  <c r="AX14" s="1"/>
  <c r="S15"/>
  <c r="BP15"/>
  <c r="AX15" s="1"/>
  <c r="S16"/>
  <c r="BP16"/>
  <c r="BQ16" s="1"/>
  <c r="S17"/>
  <c r="BP17"/>
  <c r="BQ17" s="1"/>
  <c r="S18"/>
  <c r="BP18"/>
  <c r="BQ18" s="1"/>
  <c r="S19"/>
  <c r="BP19"/>
  <c r="BQ19" s="1"/>
  <c r="S20"/>
  <c r="BP20"/>
  <c r="BQ20" s="1"/>
  <c r="S21"/>
  <c r="BP21"/>
  <c r="BQ21" s="1"/>
  <c r="S22"/>
  <c r="BP22"/>
  <c r="BQ22" s="1"/>
  <c r="S23"/>
  <c r="BP23"/>
  <c r="BQ23" s="1"/>
  <c r="S24"/>
  <c r="BP24"/>
  <c r="BQ24" s="1"/>
  <c r="S25"/>
  <c r="BP25"/>
  <c r="BQ25" s="1"/>
  <c r="S27"/>
  <c r="BP27"/>
  <c r="S28"/>
  <c r="BP28"/>
  <c r="S29"/>
  <c r="BP29"/>
  <c r="S30"/>
  <c r="BP30"/>
  <c r="BQ30" s="1"/>
  <c r="S31"/>
  <c r="BP31"/>
  <c r="BQ31" s="1"/>
  <c r="AG31" s="1"/>
  <c r="S34"/>
  <c r="BP40"/>
  <c r="BQ40" s="1"/>
  <c r="S50"/>
  <c r="S54"/>
  <c r="S56"/>
  <c r="S67"/>
  <c r="S69"/>
  <c r="AP86"/>
  <c r="AP88"/>
  <c r="AP90"/>
  <c r="AP92"/>
  <c r="BR96"/>
  <c r="AR96"/>
  <c r="BR98"/>
  <c r="BS98" s="1"/>
  <c r="AR98"/>
  <c r="BR100"/>
  <c r="BS100" s="1"/>
  <c r="AR100"/>
  <c r="AP96"/>
  <c r="AP98"/>
  <c r="AP100"/>
  <c r="BW95"/>
  <c r="AF95"/>
  <c r="AR95"/>
  <c r="BW97"/>
  <c r="AR97"/>
  <c r="BW99"/>
  <c r="AR99"/>
  <c r="BW101"/>
  <c r="AR101"/>
  <c r="AR103"/>
  <c r="BR102"/>
  <c r="BS102" s="1"/>
  <c r="AR102"/>
  <c r="BW103"/>
  <c r="AP102"/>
  <c r="AN103"/>
  <c r="AP95"/>
  <c r="AP97"/>
  <c r="AP99"/>
  <c r="AP101"/>
  <c r="AP103"/>
  <c r="N10" i="2"/>
  <c r="M10"/>
  <c r="J11"/>
  <c r="M12"/>
  <c r="J13"/>
  <c r="G14"/>
  <c r="H31" i="1"/>
  <c r="H32" s="1"/>
  <c r="F9"/>
  <c r="H9"/>
  <c r="F36"/>
  <c r="G7" i="2" s="1"/>
  <c r="K53" i="1"/>
  <c r="C53"/>
  <c r="E36"/>
  <c r="A2" i="2" l="1"/>
  <c r="A1" i="23"/>
  <c r="F5" i="25"/>
  <c r="F5" i="24"/>
  <c r="A2" i="22"/>
  <c r="A1" i="13"/>
  <c r="A1" i="14"/>
  <c r="A2" i="21"/>
  <c r="A2" i="15"/>
  <c r="A27" i="13"/>
  <c r="A2" i="12"/>
  <c r="A1" i="20"/>
  <c r="A2" i="19"/>
  <c r="A2" i="16"/>
  <c r="A14" i="13"/>
  <c r="A2" i="11"/>
  <c r="A2" i="9"/>
  <c r="J30" i="5"/>
  <c r="Q14"/>
  <c r="BP42" i="4"/>
  <c r="BQ42" s="1"/>
  <c r="BP37"/>
  <c r="BQ37" s="1"/>
  <c r="AB59"/>
  <c r="AC59"/>
  <c r="J55"/>
  <c r="L39"/>
  <c r="I39"/>
  <c r="D34" i="14" s="1"/>
  <c r="F34" s="1"/>
  <c r="L54" i="4"/>
  <c r="AA65"/>
  <c r="AC49"/>
  <c r="AA68"/>
  <c r="Y52"/>
  <c r="AA70"/>
  <c r="K56"/>
  <c r="J46"/>
  <c r="J40"/>
  <c r="M70"/>
  <c r="BG54"/>
  <c r="BG63"/>
  <c r="AO62"/>
  <c r="AO58"/>
  <c r="AO65"/>
  <c r="AO60"/>
  <c r="AO67"/>
  <c r="AO41"/>
  <c r="AI56"/>
  <c r="AG46"/>
  <c r="AF46"/>
  <c r="AG40"/>
  <c r="AF40"/>
  <c r="AG70"/>
  <c r="AF55"/>
  <c r="AG54"/>
  <c r="AQ63"/>
  <c r="AM62"/>
  <c r="AJ62"/>
  <c r="AM58"/>
  <c r="AJ58"/>
  <c r="AG65"/>
  <c r="AJ65"/>
  <c r="AM60"/>
  <c r="AJ60"/>
  <c r="AG67"/>
  <c r="AJ67"/>
  <c r="AI41"/>
  <c r="AE41"/>
  <c r="AM41"/>
  <c r="AC41"/>
  <c r="Y33"/>
  <c r="BP46"/>
  <c r="BQ46" s="1"/>
  <c r="BP63"/>
  <c r="BQ63" s="1"/>
  <c r="Y70"/>
  <c r="AA54"/>
  <c r="M47"/>
  <c r="BG39"/>
  <c r="AO56"/>
  <c r="AH47"/>
  <c r="AH56"/>
  <c r="AQ55"/>
  <c r="AQ39"/>
  <c r="AM54"/>
  <c r="AJ54"/>
  <c r="AG63"/>
  <c r="AJ63"/>
  <c r="AQ62"/>
  <c r="AI62"/>
  <c r="AE62"/>
  <c r="AQ58"/>
  <c r="AI58"/>
  <c r="AE58"/>
  <c r="AI65"/>
  <c r="AE65"/>
  <c r="AM65"/>
  <c r="AH65"/>
  <c r="AQ60"/>
  <c r="AI60"/>
  <c r="AE60"/>
  <c r="AI67"/>
  <c r="AE67"/>
  <c r="AM67"/>
  <c r="S52"/>
  <c r="BZ51"/>
  <c r="BV51"/>
  <c r="BP57"/>
  <c r="BQ57" s="1"/>
  <c r="BR59"/>
  <c r="BS59" s="1"/>
  <c r="BZ50"/>
  <c r="BV50"/>
  <c r="BZ52"/>
  <c r="BV52"/>
  <c r="BZ58"/>
  <c r="BV58"/>
  <c r="S65"/>
  <c r="Y65"/>
  <c r="AA49"/>
  <c r="Z70"/>
  <c r="AC70"/>
  <c r="AD54"/>
  <c r="Z52"/>
  <c r="Z49"/>
  <c r="AD53"/>
  <c r="AB70"/>
  <c r="J59"/>
  <c r="K59"/>
  <c r="L69"/>
  <c r="M69"/>
  <c r="I69"/>
  <c r="D64" i="14" s="1"/>
  <c r="F64" s="1"/>
  <c r="L45" i="4"/>
  <c r="M45"/>
  <c r="I45"/>
  <c r="D40" i="14" s="1"/>
  <c r="F40" s="1"/>
  <c r="J36" i="4"/>
  <c r="BG48"/>
  <c r="AO53"/>
  <c r="AO59"/>
  <c r="AO69"/>
  <c r="BG45"/>
  <c r="AE59"/>
  <c r="AH59"/>
  <c r="AG69"/>
  <c r="AQ69"/>
  <c r="AJ69"/>
  <c r="AG45"/>
  <c r="AQ45"/>
  <c r="AJ45"/>
  <c r="AM48"/>
  <c r="AG48"/>
  <c r="AJ48"/>
  <c r="AG53"/>
  <c r="AQ53"/>
  <c r="AJ53"/>
  <c r="BP59"/>
  <c r="BQ59" s="1"/>
  <c r="Z35"/>
  <c r="BR45"/>
  <c r="BS45" s="1"/>
  <c r="AD69"/>
  <c r="AC65"/>
  <c r="AC61"/>
  <c r="AC57"/>
  <c r="Z53"/>
  <c r="AD45"/>
  <c r="AD37"/>
  <c r="AD68"/>
  <c r="AA56"/>
  <c r="AC52"/>
  <c r="AA48"/>
  <c r="AC40"/>
  <c r="S70"/>
  <c r="S68"/>
  <c r="S66"/>
  <c r="BP56"/>
  <c r="BQ56" s="1"/>
  <c r="S55"/>
  <c r="S53"/>
  <c r="S51"/>
  <c r="S40"/>
  <c r="S39"/>
  <c r="AB69"/>
  <c r="AB67"/>
  <c r="AB65"/>
  <c r="BR56"/>
  <c r="BS56" s="1"/>
  <c r="AB55"/>
  <c r="AB53"/>
  <c r="BW47"/>
  <c r="BW43"/>
  <c r="BR40"/>
  <c r="BS40" s="1"/>
  <c r="AB39"/>
  <c r="BW35"/>
  <c r="AA69"/>
  <c r="AA67"/>
  <c r="AA55"/>
  <c r="Y53"/>
  <c r="AC53"/>
  <c r="AC47"/>
  <c r="AC43"/>
  <c r="Y39"/>
  <c r="AC39"/>
  <c r="Y35"/>
  <c r="AB66"/>
  <c r="AB54"/>
  <c r="AB48"/>
  <c r="AB32"/>
  <c r="BW68"/>
  <c r="BW54"/>
  <c r="BW46"/>
  <c r="AD70"/>
  <c r="AD66"/>
  <c r="AA66"/>
  <c r="AD56"/>
  <c r="Z54"/>
  <c r="Y54"/>
  <c r="AC54"/>
  <c r="AD50"/>
  <c r="AA50"/>
  <c r="AC46"/>
  <c r="Z40"/>
  <c r="Y40"/>
  <c r="Y34"/>
  <c r="Z69"/>
  <c r="Z45"/>
  <c r="AD55"/>
  <c r="Y64"/>
  <c r="L55"/>
  <c r="M55"/>
  <c r="I55"/>
  <c r="D50" i="14" s="1"/>
  <c r="F50" s="1"/>
  <c r="J39" i="4"/>
  <c r="K39"/>
  <c r="K54"/>
  <c r="M54"/>
  <c r="I54"/>
  <c r="D49" i="14" s="1"/>
  <c r="F49" s="1"/>
  <c r="L63" i="4"/>
  <c r="M63"/>
  <c r="I63"/>
  <c r="D58" i="14" s="1"/>
  <c r="F58" s="1"/>
  <c r="L47" i="4"/>
  <c r="I47"/>
  <c r="D42" i="14" s="1"/>
  <c r="F42" s="1"/>
  <c r="J56" i="4"/>
  <c r="L56"/>
  <c r="K46"/>
  <c r="M46"/>
  <c r="I46"/>
  <c r="D41" i="14" s="1"/>
  <c r="F41" s="1"/>
  <c r="M40" i="4"/>
  <c r="K40"/>
  <c r="I40"/>
  <c r="D35" i="14" s="1"/>
  <c r="F35" s="1"/>
  <c r="J70" i="4"/>
  <c r="L70"/>
  <c r="AO55"/>
  <c r="AO39"/>
  <c r="AO54"/>
  <c r="AO63"/>
  <c r="BG47"/>
  <c r="BG56"/>
  <c r="BG46"/>
  <c r="BG40"/>
  <c r="BG70"/>
  <c r="AI47"/>
  <c r="AM47"/>
  <c r="AQ56"/>
  <c r="AE56"/>
  <c r="AQ46"/>
  <c r="AI46"/>
  <c r="AE46"/>
  <c r="AQ40"/>
  <c r="AI40"/>
  <c r="AE40"/>
  <c r="AQ70"/>
  <c r="AI70"/>
  <c r="AJ70"/>
  <c r="AF70"/>
  <c r="AG55"/>
  <c r="AJ55"/>
  <c r="AG39"/>
  <c r="AJ39"/>
  <c r="AQ54"/>
  <c r="AI54"/>
  <c r="AE54"/>
  <c r="AI63"/>
  <c r="AE63"/>
  <c r="AM63"/>
  <c r="I29" i="10"/>
  <c r="I30" s="1"/>
  <c r="M120" i="4" s="1"/>
  <c r="B29" i="3" s="1"/>
  <c r="BR60" i="4"/>
  <c r="BS60" s="1"/>
  <c r="BP44"/>
  <c r="BQ44" s="1"/>
  <c r="BP35"/>
  <c r="BQ35" s="1"/>
  <c r="S49"/>
  <c r="AB49"/>
  <c r="BW33"/>
  <c r="Y67"/>
  <c r="AC67"/>
  <c r="Y49"/>
  <c r="AB68"/>
  <c r="AB52"/>
  <c r="Z67"/>
  <c r="AC51"/>
  <c r="R29" i="10"/>
  <c r="R30" s="1"/>
  <c r="M121" i="4" s="1"/>
  <c r="B30" i="3" s="1"/>
  <c r="C27" i="14"/>
  <c r="N28" i="11"/>
  <c r="M14"/>
  <c r="N21"/>
  <c r="M29"/>
  <c r="M20"/>
  <c r="M15"/>
  <c r="N9"/>
  <c r="N20"/>
  <c r="N15"/>
  <c r="M27"/>
  <c r="N13"/>
  <c r="M21"/>
  <c r="N16"/>
  <c r="M28"/>
  <c r="N18"/>
  <c r="M25"/>
  <c r="N12"/>
  <c r="M24"/>
  <c r="M13"/>
  <c r="N24"/>
  <c r="N10"/>
  <c r="M18"/>
  <c r="N25"/>
  <c r="N8"/>
  <c r="M16"/>
  <c r="M11"/>
  <c r="N14"/>
  <c r="N29"/>
  <c r="M12"/>
  <c r="N27"/>
  <c r="M10"/>
  <c r="M9"/>
  <c r="Y57" i="4"/>
  <c r="C52" i="14"/>
  <c r="Y41" i="4"/>
  <c r="C36" i="14"/>
  <c r="AA36" i="4"/>
  <c r="C31" i="14"/>
  <c r="AC60" i="4"/>
  <c r="C55" i="14"/>
  <c r="AA44" i="4"/>
  <c r="C39" i="14"/>
  <c r="Y59" i="4"/>
  <c r="C54" i="14"/>
  <c r="Y43" i="4"/>
  <c r="C38" i="14"/>
  <c r="AC37" i="4"/>
  <c r="C32" i="14"/>
  <c r="AA62" i="4"/>
  <c r="C57" i="14"/>
  <c r="Y46" i="4"/>
  <c r="C41" i="14"/>
  <c r="AD61" i="4"/>
  <c r="C56" i="14"/>
  <c r="Y45" i="4"/>
  <c r="C40" i="14"/>
  <c r="AD48" i="4"/>
  <c r="C43" i="14"/>
  <c r="Z63" i="4"/>
  <c r="C58" i="14"/>
  <c r="Y47" i="4"/>
  <c r="C42" i="14"/>
  <c r="AD58" i="4"/>
  <c r="C53" i="14"/>
  <c r="AC42" i="4"/>
  <c r="C37" i="14"/>
  <c r="AD65" i="4"/>
  <c r="C60" i="14"/>
  <c r="AD49" i="4"/>
  <c r="C44" i="14"/>
  <c r="AC68" i="4"/>
  <c r="C63" i="14"/>
  <c r="AA52" i="4"/>
  <c r="C47" i="14"/>
  <c r="C65"/>
  <c r="N17" i="11"/>
  <c r="M8"/>
  <c r="M17"/>
  <c r="N11"/>
  <c r="AD44" i="4"/>
  <c r="AD36"/>
  <c r="Y32"/>
  <c r="I68"/>
  <c r="D63" i="14" s="1"/>
  <c r="F63" s="1"/>
  <c r="BZ47" i="4"/>
  <c r="BV47"/>
  <c r="BZ40"/>
  <c r="BV40"/>
  <c r="BZ55"/>
  <c r="BV55"/>
  <c r="R55"/>
  <c r="BX55"/>
  <c r="BY55" s="1"/>
  <c r="BT55"/>
  <c r="BV32"/>
  <c r="BZ32"/>
  <c r="S22" i="9"/>
  <c r="J15"/>
  <c r="L11"/>
  <c r="S19"/>
  <c r="J13"/>
  <c r="J29"/>
  <c r="S16"/>
  <c r="J10"/>
  <c r="S18"/>
  <c r="S25"/>
  <c r="J17"/>
  <c r="L14"/>
  <c r="S11"/>
  <c r="L26"/>
  <c r="S26"/>
  <c r="S29"/>
  <c r="L19"/>
  <c r="J25"/>
  <c r="L21"/>
  <c r="S21"/>
  <c r="S14"/>
  <c r="L30"/>
  <c r="S30"/>
  <c r="J19"/>
  <c r="L15"/>
  <c r="S15"/>
  <c r="J18"/>
  <c r="J16"/>
  <c r="L13"/>
  <c r="S13"/>
  <c r="J14"/>
  <c r="L10"/>
  <c r="S10"/>
  <c r="L28"/>
  <c r="J22"/>
  <c r="L17"/>
  <c r="S17"/>
  <c r="J12"/>
  <c r="S12"/>
  <c r="J26"/>
  <c r="L22"/>
  <c r="J28"/>
  <c r="N28" s="1"/>
  <c r="S28"/>
  <c r="J21"/>
  <c r="L16"/>
  <c r="J11"/>
  <c r="S20"/>
  <c r="J30"/>
  <c r="N30" s="1"/>
  <c r="L25"/>
  <c r="R68" i="4"/>
  <c r="BX68"/>
  <c r="BY68" s="1"/>
  <c r="BT68"/>
  <c r="R52"/>
  <c r="BX52"/>
  <c r="BY52" s="1"/>
  <c r="BT52"/>
  <c r="BV35"/>
  <c r="BZ35"/>
  <c r="R65"/>
  <c r="BX65"/>
  <c r="BY65" s="1"/>
  <c r="BT65"/>
  <c r="R49"/>
  <c r="BX49"/>
  <c r="BY49" s="1"/>
  <c r="BT49"/>
  <c r="BV34"/>
  <c r="BZ34"/>
  <c r="S24" i="9" s="1"/>
  <c r="R70" i="4"/>
  <c r="BX70"/>
  <c r="BT70"/>
  <c r="BJ70" s="1"/>
  <c r="R54"/>
  <c r="BX54"/>
  <c r="BY54" s="1"/>
  <c r="BT54"/>
  <c r="BX38"/>
  <c r="BY38" s="1"/>
  <c r="BT38"/>
  <c r="BX34"/>
  <c r="BY34" s="1"/>
  <c r="BT34"/>
  <c r="R47"/>
  <c r="BX47"/>
  <c r="BY47" s="1"/>
  <c r="BT47"/>
  <c r="BH47" s="1"/>
  <c r="R67"/>
  <c r="BX67"/>
  <c r="BY67" s="1"/>
  <c r="BT67"/>
  <c r="BX51"/>
  <c r="BY51" s="1"/>
  <c r="BT51"/>
  <c r="BX64"/>
  <c r="BY64" s="1"/>
  <c r="BT64"/>
  <c r="R48"/>
  <c r="BX48"/>
  <c r="BY48" s="1"/>
  <c r="BT48"/>
  <c r="R69"/>
  <c r="BX69"/>
  <c r="BY69" s="1"/>
  <c r="BT69"/>
  <c r="R53"/>
  <c r="BX53"/>
  <c r="BY53" s="1"/>
  <c r="BT53"/>
  <c r="R66"/>
  <c r="BX66"/>
  <c r="BY66" s="1"/>
  <c r="BT66"/>
  <c r="R50"/>
  <c r="BX50"/>
  <c r="BY50" s="1"/>
  <c r="BT50"/>
  <c r="BJ50" s="1"/>
  <c r="BV33"/>
  <c r="L20" i="9" s="1"/>
  <c r="BZ33" i="4"/>
  <c r="J20" i="9" s="1"/>
  <c r="BV64" i="4"/>
  <c r="BZ64"/>
  <c r="BV45"/>
  <c r="BZ45"/>
  <c r="BV62"/>
  <c r="BZ62"/>
  <c r="BV65"/>
  <c r="BZ65"/>
  <c r="BV70"/>
  <c r="BZ70"/>
  <c r="BZ57"/>
  <c r="BV57"/>
  <c r="L18" i="9"/>
  <c r="N18" s="1"/>
  <c r="L29"/>
  <c r="N29" s="1"/>
  <c r="AX13" i="4"/>
  <c r="BQ13"/>
  <c r="BV53"/>
  <c r="BZ53"/>
  <c r="R39"/>
  <c r="BX39"/>
  <c r="BY39" s="1"/>
  <c r="BT39"/>
  <c r="BH39" s="1"/>
  <c r="R60"/>
  <c r="BX60"/>
  <c r="BY60" s="1"/>
  <c r="BT60"/>
  <c r="R44"/>
  <c r="BX44"/>
  <c r="BY44" s="1"/>
  <c r="BT44"/>
  <c r="BH44" s="1"/>
  <c r="BX35"/>
  <c r="BY35" s="1"/>
  <c r="BT35"/>
  <c r="BH35" s="1"/>
  <c r="BV39"/>
  <c r="BZ39"/>
  <c r="R57"/>
  <c r="BX57"/>
  <c r="BY57" s="1"/>
  <c r="BT57"/>
  <c r="BJ57" s="1"/>
  <c r="R41"/>
  <c r="BX41"/>
  <c r="BY41" s="1"/>
  <c r="BT41"/>
  <c r="AP41" s="1"/>
  <c r="BX33"/>
  <c r="BY33" s="1"/>
  <c r="N22" i="11" s="1"/>
  <c r="BT33" i="4"/>
  <c r="BJ33" s="1"/>
  <c r="R62"/>
  <c r="BX62"/>
  <c r="BY62" s="1"/>
  <c r="BT62"/>
  <c r="BJ62" s="1"/>
  <c r="R46"/>
  <c r="BX46"/>
  <c r="BY46" s="1"/>
  <c r="BT46"/>
  <c r="AN46" s="1"/>
  <c r="R36"/>
  <c r="BX36"/>
  <c r="BY36" s="1"/>
  <c r="BT36"/>
  <c r="BJ36" s="1"/>
  <c r="BV37"/>
  <c r="BZ37"/>
  <c r="R63"/>
  <c r="BX63"/>
  <c r="BY63" s="1"/>
  <c r="BT63"/>
  <c r="BH63" s="1"/>
  <c r="R59"/>
  <c r="BX59"/>
  <c r="BY59" s="1"/>
  <c r="BT59"/>
  <c r="BJ59" s="1"/>
  <c r="R43"/>
  <c r="BX43"/>
  <c r="BY43" s="1"/>
  <c r="BT43"/>
  <c r="BH43" s="1"/>
  <c r="R56"/>
  <c r="BX56"/>
  <c r="BY56" s="1"/>
  <c r="BT56"/>
  <c r="BJ56" s="1"/>
  <c r="R40"/>
  <c r="BX40"/>
  <c r="BY40" s="1"/>
  <c r="BT40"/>
  <c r="BH40" s="1"/>
  <c r="R61"/>
  <c r="BX61"/>
  <c r="BY61" s="1"/>
  <c r="BT61"/>
  <c r="BH61" s="1"/>
  <c r="R45"/>
  <c r="BX45"/>
  <c r="BY45" s="1"/>
  <c r="BT45"/>
  <c r="BJ45" s="1"/>
  <c r="BX37"/>
  <c r="BY37" s="1"/>
  <c r="BT37"/>
  <c r="BH37" s="1"/>
  <c r="BV38"/>
  <c r="BZ38"/>
  <c r="R58"/>
  <c r="BX58"/>
  <c r="BY58" s="1"/>
  <c r="BT58"/>
  <c r="BJ58" s="1"/>
  <c r="R42"/>
  <c r="BX42"/>
  <c r="BY42" s="1"/>
  <c r="BT42"/>
  <c r="AN42" s="1"/>
  <c r="BX32"/>
  <c r="BT32"/>
  <c r="BJ32" s="1"/>
  <c r="BV61"/>
  <c r="BZ61"/>
  <c r="BV49"/>
  <c r="BZ49"/>
  <c r="BV41"/>
  <c r="BZ41"/>
  <c r="BV46"/>
  <c r="BZ46"/>
  <c r="BV48"/>
  <c r="BZ48"/>
  <c r="BV68"/>
  <c r="BZ68"/>
  <c r="BZ54"/>
  <c r="BV54"/>
  <c r="BZ56"/>
  <c r="BV56"/>
  <c r="L12" i="9"/>
  <c r="N12" s="1"/>
  <c r="AG59" i="4"/>
  <c r="AQ59"/>
  <c r="AJ59"/>
  <c r="BR32"/>
  <c r="BS32" s="1"/>
  <c r="T22" i="9"/>
  <c r="U22" s="1"/>
  <c r="T31"/>
  <c r="T26"/>
  <c r="U26" s="1"/>
  <c r="T10"/>
  <c r="U10" s="1"/>
  <c r="T27"/>
  <c r="T14"/>
  <c r="U14" s="1"/>
  <c r="T28"/>
  <c r="U28" s="1"/>
  <c r="T25"/>
  <c r="U25" s="1"/>
  <c r="T16"/>
  <c r="U16" s="1"/>
  <c r="T19"/>
  <c r="U19" s="1"/>
  <c r="T29"/>
  <c r="U29" s="1"/>
  <c r="G10" i="15" s="1"/>
  <c r="T20" i="9"/>
  <c r="U20" s="1"/>
  <c r="T15"/>
  <c r="U15" s="1"/>
  <c r="T23"/>
  <c r="T17"/>
  <c r="U17" s="1"/>
  <c r="T30"/>
  <c r="U30" s="1"/>
  <c r="T21"/>
  <c r="U21" s="1"/>
  <c r="K36" i="4"/>
  <c r="L36" s="1"/>
  <c r="BG36"/>
  <c r="T18" i="9"/>
  <c r="U18" s="1"/>
  <c r="AZ13" i="4"/>
  <c r="T11" i="9"/>
  <c r="U11" s="1"/>
  <c r="T13"/>
  <c r="U13" s="1"/>
  <c r="M36" i="4"/>
  <c r="AO36"/>
  <c r="AQ36"/>
  <c r="T12" i="9"/>
  <c r="U12" s="1"/>
  <c r="AB51" i="4"/>
  <c r="AD57"/>
  <c r="BB85"/>
  <c r="BB113"/>
  <c r="BK113" s="1"/>
  <c r="BL113" s="1"/>
  <c r="BO113" s="1"/>
  <c r="BH30"/>
  <c r="J43"/>
  <c r="M68"/>
  <c r="BH65"/>
  <c r="Z68"/>
  <c r="Y68"/>
  <c r="AD52"/>
  <c r="J47"/>
  <c r="K47"/>
  <c r="AO47"/>
  <c r="AG47"/>
  <c r="AQ47"/>
  <c r="AJ47"/>
  <c r="AM56"/>
  <c r="AG56"/>
  <c r="AJ56"/>
  <c r="AI55"/>
  <c r="AE55"/>
  <c r="AM55"/>
  <c r="AI39"/>
  <c r="AE39"/>
  <c r="AM39"/>
  <c r="BR35"/>
  <c r="BS35" s="1"/>
  <c r="AC34"/>
  <c r="AC38"/>
  <c r="AD33"/>
  <c r="K43"/>
  <c r="K68"/>
  <c r="BG43"/>
  <c r="BH70"/>
  <c r="S63"/>
  <c r="S61"/>
  <c r="BP58"/>
  <c r="BQ58" s="1"/>
  <c r="BP55"/>
  <c r="BQ55" s="1"/>
  <c r="BP47"/>
  <c r="BQ47" s="1"/>
  <c r="BF47" s="1"/>
  <c r="BP45"/>
  <c r="BQ45" s="1"/>
  <c r="AN45" s="1"/>
  <c r="S44"/>
  <c r="BP41"/>
  <c r="BQ41" s="1"/>
  <c r="AN41" s="1"/>
  <c r="BP38"/>
  <c r="BQ38" s="1"/>
  <c r="AN38" s="1"/>
  <c r="S37"/>
  <c r="S35"/>
  <c r="S33"/>
  <c r="BH21"/>
  <c r="BR68"/>
  <c r="BS68" s="1"/>
  <c r="BR52"/>
  <c r="BS52" s="1"/>
  <c r="BR48"/>
  <c r="BS48" s="1"/>
  <c r="AB47"/>
  <c r="BR44"/>
  <c r="BS44" s="1"/>
  <c r="AB43"/>
  <c r="BR36"/>
  <c r="BS36" s="1"/>
  <c r="AB35"/>
  <c r="Y63"/>
  <c r="Y61"/>
  <c r="AA51"/>
  <c r="AC35"/>
  <c r="AC33"/>
  <c r="AB60"/>
  <c r="AB44"/>
  <c r="AB36"/>
  <c r="BJ69"/>
  <c r="BJ66"/>
  <c r="Z60"/>
  <c r="BJ48"/>
  <c r="Z42"/>
  <c r="Z38"/>
  <c r="Z34"/>
  <c r="BR63"/>
  <c r="BS63" s="1"/>
  <c r="BR53"/>
  <c r="BS53" s="1"/>
  <c r="BH51"/>
  <c r="L43"/>
  <c r="M43"/>
  <c r="I43"/>
  <c r="D38" i="14" s="1"/>
  <c r="F38" s="1"/>
  <c r="J68" i="4"/>
  <c r="L68"/>
  <c r="AO68"/>
  <c r="AI97"/>
  <c r="BA97"/>
  <c r="K14" i="5"/>
  <c r="F10" i="8"/>
  <c r="G10" s="1"/>
  <c r="H10" s="1"/>
  <c r="J24" i="5"/>
  <c r="BH25" i="4"/>
  <c r="BW51"/>
  <c r="Y51"/>
  <c r="AB64"/>
  <c r="AN92"/>
  <c r="BW64"/>
  <c r="BS96"/>
  <c r="AH96"/>
  <c r="AZ96"/>
  <c r="BJ15"/>
  <c r="BC15"/>
  <c r="BJ13"/>
  <c r="BC13"/>
  <c r="BJ28"/>
  <c r="BC28"/>
  <c r="BH29"/>
  <c r="BC29"/>
  <c r="BC65"/>
  <c r="BA65"/>
  <c r="AZ65"/>
  <c r="AY65"/>
  <c r="AX65"/>
  <c r="AS65"/>
  <c r="AT65"/>
  <c r="AX49"/>
  <c r="BC49"/>
  <c r="BA49"/>
  <c r="AZ49"/>
  <c r="AY49"/>
  <c r="AS49"/>
  <c r="AT49"/>
  <c r="BI68"/>
  <c r="BC68"/>
  <c r="BA68"/>
  <c r="AZ68"/>
  <c r="AY68"/>
  <c r="AS68"/>
  <c r="AX68"/>
  <c r="AT68"/>
  <c r="BI52"/>
  <c r="BC52"/>
  <c r="BA52"/>
  <c r="AZ52"/>
  <c r="AX52"/>
  <c r="AY52"/>
  <c r="AS52"/>
  <c r="AT52"/>
  <c r="BI67"/>
  <c r="BC67"/>
  <c r="BA67"/>
  <c r="AZ67"/>
  <c r="AY67"/>
  <c r="AX67"/>
  <c r="AS67"/>
  <c r="AT67"/>
  <c r="BI51"/>
  <c r="AX51"/>
  <c r="BC51"/>
  <c r="BA51"/>
  <c r="AZ51"/>
  <c r="AY51"/>
  <c r="AS51"/>
  <c r="AT51"/>
  <c r="BI70"/>
  <c r="BC70"/>
  <c r="BA70"/>
  <c r="AZ70"/>
  <c r="AY70"/>
  <c r="AS70"/>
  <c r="AX70"/>
  <c r="AT70"/>
  <c r="BI54"/>
  <c r="BC54"/>
  <c r="BA54"/>
  <c r="AZ54"/>
  <c r="AX54"/>
  <c r="AY54"/>
  <c r="AS54"/>
  <c r="AT54"/>
  <c r="BI69"/>
  <c r="BC69"/>
  <c r="BA69"/>
  <c r="AZ69"/>
  <c r="AY69"/>
  <c r="AX69"/>
  <c r="AS69"/>
  <c r="AT69"/>
  <c r="BI53"/>
  <c r="AX53"/>
  <c r="BC53"/>
  <c r="BA53"/>
  <c r="AZ53"/>
  <c r="AY53"/>
  <c r="AS53"/>
  <c r="AT53"/>
  <c r="BI56"/>
  <c r="BC56"/>
  <c r="BA56"/>
  <c r="AZ56"/>
  <c r="AX56"/>
  <c r="AY56"/>
  <c r="AS56"/>
  <c r="AT56"/>
  <c r="BI40"/>
  <c r="BC40"/>
  <c r="BA40"/>
  <c r="AZ40"/>
  <c r="AX40"/>
  <c r="AY40"/>
  <c r="AS40"/>
  <c r="AT40"/>
  <c r="BI55"/>
  <c r="AX55"/>
  <c r="BC55"/>
  <c r="BA55"/>
  <c r="AZ55"/>
  <c r="AY55"/>
  <c r="AS55"/>
  <c r="AT55"/>
  <c r="BI39"/>
  <c r="AX39"/>
  <c r="BC39"/>
  <c r="BA39"/>
  <c r="AZ39"/>
  <c r="AY39"/>
  <c r="AS39"/>
  <c r="AT39"/>
  <c r="BI66"/>
  <c r="BC66"/>
  <c r="BA66"/>
  <c r="AZ66"/>
  <c r="AY66"/>
  <c r="AS66"/>
  <c r="AX66"/>
  <c r="AT66"/>
  <c r="BI50"/>
  <c r="BC50"/>
  <c r="BA50"/>
  <c r="AZ50"/>
  <c r="AX50"/>
  <c r="AY50"/>
  <c r="AS50"/>
  <c r="AT50"/>
  <c r="BC31"/>
  <c r="BC30"/>
  <c r="BH27"/>
  <c r="BC27"/>
  <c r="BJ14"/>
  <c r="BC14"/>
  <c r="BS85"/>
  <c r="AH85"/>
  <c r="AZ85"/>
  <c r="AX57"/>
  <c r="BC57"/>
  <c r="BA57"/>
  <c r="AZ57"/>
  <c r="AY57"/>
  <c r="AS57"/>
  <c r="AT57"/>
  <c r="AX41"/>
  <c r="BC41"/>
  <c r="BA41"/>
  <c r="AZ41"/>
  <c r="AY41"/>
  <c r="AS41"/>
  <c r="AT41"/>
  <c r="BC60"/>
  <c r="BA60"/>
  <c r="AZ60"/>
  <c r="AX60"/>
  <c r="AY60"/>
  <c r="AS60"/>
  <c r="AT60"/>
  <c r="BC44"/>
  <c r="BA44"/>
  <c r="AZ44"/>
  <c r="AX44"/>
  <c r="AY44"/>
  <c r="AS44"/>
  <c r="AT44"/>
  <c r="AX59"/>
  <c r="BC59"/>
  <c r="BA59"/>
  <c r="AZ59"/>
  <c r="AY59"/>
  <c r="AS59"/>
  <c r="AT59"/>
  <c r="AX43"/>
  <c r="BC43"/>
  <c r="BA43"/>
  <c r="AZ43"/>
  <c r="AY43"/>
  <c r="AS43"/>
  <c r="AT43"/>
  <c r="BC62"/>
  <c r="BA62"/>
  <c r="AZ62"/>
  <c r="AY62"/>
  <c r="AS62"/>
  <c r="AX62"/>
  <c r="AT62"/>
  <c r="BC46"/>
  <c r="BA46"/>
  <c r="AZ46"/>
  <c r="AX46"/>
  <c r="AY46"/>
  <c r="AS46"/>
  <c r="AT46"/>
  <c r="BC61"/>
  <c r="BA61"/>
  <c r="AZ61"/>
  <c r="AY61"/>
  <c r="AX61"/>
  <c r="AS61"/>
  <c r="AT61"/>
  <c r="AX45"/>
  <c r="BC45"/>
  <c r="BA45"/>
  <c r="AZ45"/>
  <c r="AY45"/>
  <c r="AS45"/>
  <c r="AT45"/>
  <c r="BI64"/>
  <c r="BC64"/>
  <c r="BA64"/>
  <c r="AZ64"/>
  <c r="AY64"/>
  <c r="AS64"/>
  <c r="AX64"/>
  <c r="AT64"/>
  <c r="BC48"/>
  <c r="BA48"/>
  <c r="AZ48"/>
  <c r="AX48"/>
  <c r="AY48"/>
  <c r="AS48"/>
  <c r="AT48"/>
  <c r="BI38"/>
  <c r="BC38"/>
  <c r="BA38"/>
  <c r="AZ38"/>
  <c r="AX38"/>
  <c r="AY38"/>
  <c r="AS38"/>
  <c r="AT38"/>
  <c r="BC63"/>
  <c r="BA63"/>
  <c r="AZ63"/>
  <c r="AY63"/>
  <c r="AX63"/>
  <c r="AS63"/>
  <c r="AT63"/>
  <c r="AX47"/>
  <c r="BC47"/>
  <c r="BA47"/>
  <c r="AZ47"/>
  <c r="AY47"/>
  <c r="AS47"/>
  <c r="AT47"/>
  <c r="BC58"/>
  <c r="BA58"/>
  <c r="AZ58"/>
  <c r="AX58"/>
  <c r="AY58"/>
  <c r="AS58"/>
  <c r="AT58"/>
  <c r="BC42"/>
  <c r="BA42"/>
  <c r="AZ42"/>
  <c r="AX42"/>
  <c r="AY42"/>
  <c r="AS42"/>
  <c r="AT42"/>
  <c r="AH95"/>
  <c r="AI95"/>
  <c r="AJ103"/>
  <c r="AS103" s="1"/>
  <c r="AT103" s="1"/>
  <c r="AW103" s="1"/>
  <c r="AM103"/>
  <c r="BF101"/>
  <c r="AY101"/>
  <c r="AG101"/>
  <c r="BF99"/>
  <c r="AY99"/>
  <c r="AG99"/>
  <c r="BF97"/>
  <c r="AY97"/>
  <c r="AG97"/>
  <c r="BF95"/>
  <c r="AG95"/>
  <c r="BB103"/>
  <c r="BK103" s="1"/>
  <c r="BL103" s="1"/>
  <c r="BO103" s="1"/>
  <c r="BE103"/>
  <c r="BQ29"/>
  <c r="AG29" s="1"/>
  <c r="AF29"/>
  <c r="BS29"/>
  <c r="AI29" s="1"/>
  <c r="AH29"/>
  <c r="BQ28"/>
  <c r="AG28" s="1"/>
  <c r="AF28"/>
  <c r="BQ27"/>
  <c r="AG27" s="1"/>
  <c r="AF27"/>
  <c r="BS27"/>
  <c r="AI27" s="1"/>
  <c r="AH27"/>
  <c r="BS28"/>
  <c r="AI28" s="1"/>
  <c r="AH28"/>
  <c r="AD51"/>
  <c r="AF51"/>
  <c r="AH51"/>
  <c r="AJ51"/>
  <c r="AM51"/>
  <c r="AQ51"/>
  <c r="AE51"/>
  <c r="AG51"/>
  <c r="AI51"/>
  <c r="AC64"/>
  <c r="AF64"/>
  <c r="AH64"/>
  <c r="AJ64"/>
  <c r="AE64"/>
  <c r="AG64"/>
  <c r="AI64"/>
  <c r="AM64"/>
  <c r="AQ64"/>
  <c r="Z65"/>
  <c r="BI65"/>
  <c r="BR49"/>
  <c r="BS49" s="1"/>
  <c r="BI49"/>
  <c r="AE34"/>
  <c r="M34" s="1"/>
  <c r="AQ34"/>
  <c r="AE33"/>
  <c r="M33" s="1"/>
  <c r="AQ33"/>
  <c r="AE35"/>
  <c r="BI35" s="1"/>
  <c r="AQ35"/>
  <c r="AF38"/>
  <c r="AH38"/>
  <c r="AJ38"/>
  <c r="AE38"/>
  <c r="AG38"/>
  <c r="AI38"/>
  <c r="AM38"/>
  <c r="AQ38"/>
  <c r="AE32"/>
  <c r="M32" s="1"/>
  <c r="AZ32" s="1"/>
  <c r="AQ32"/>
  <c r="AF30"/>
  <c r="AI30"/>
  <c r="AH30"/>
  <c r="AG30"/>
  <c r="AF43"/>
  <c r="AH43"/>
  <c r="AJ43"/>
  <c r="AM43"/>
  <c r="AQ43"/>
  <c r="AE43"/>
  <c r="AG43"/>
  <c r="AI43"/>
  <c r="AF68"/>
  <c r="AH68"/>
  <c r="AJ68"/>
  <c r="AE68"/>
  <c r="AG68"/>
  <c r="AI68"/>
  <c r="AM68"/>
  <c r="AQ68"/>
  <c r="BJ29"/>
  <c r="BJ24"/>
  <c r="BJ20"/>
  <c r="AA32"/>
  <c r="BI32"/>
  <c r="Z57"/>
  <c r="BI57"/>
  <c r="Z41"/>
  <c r="BI41"/>
  <c r="AC36"/>
  <c r="BI36"/>
  <c r="AA60"/>
  <c r="BI60"/>
  <c r="AC44"/>
  <c r="BI44"/>
  <c r="AD59"/>
  <c r="BI59"/>
  <c r="AD43"/>
  <c r="BI43"/>
  <c r="Z37"/>
  <c r="AQ37"/>
  <c r="AE37"/>
  <c r="BI37" s="1"/>
  <c r="AC62"/>
  <c r="BI62"/>
  <c r="AA46"/>
  <c r="BI46"/>
  <c r="Z61"/>
  <c r="BI61"/>
  <c r="AA45"/>
  <c r="BI45"/>
  <c r="AC48"/>
  <c r="BI48"/>
  <c r="AD63"/>
  <c r="BI63"/>
  <c r="AD47"/>
  <c r="BI47"/>
  <c r="AC58"/>
  <c r="BI58"/>
  <c r="AA42"/>
  <c r="BI42"/>
  <c r="AF31"/>
  <c r="AM31" s="1"/>
  <c r="AH31"/>
  <c r="BH13"/>
  <c r="BH69"/>
  <c r="AD41"/>
  <c r="Z64"/>
  <c r="BR39"/>
  <c r="BS39" s="1"/>
  <c r="Z51"/>
  <c r="AD35"/>
  <c r="BH38"/>
  <c r="AA38"/>
  <c r="BH66"/>
  <c r="BH62"/>
  <c r="BH50"/>
  <c r="BH28"/>
  <c r="BJ27"/>
  <c r="BJ51"/>
  <c r="BJ65"/>
  <c r="BH22"/>
  <c r="BH19"/>
  <c r="BH14"/>
  <c r="AA34"/>
  <c r="BR51"/>
  <c r="BS51" s="1"/>
  <c r="BJ64"/>
  <c r="AA64"/>
  <c r="Z33"/>
  <c r="BJ34"/>
  <c r="BH34"/>
  <c r="BP70"/>
  <c r="BQ70" s="1"/>
  <c r="BF70" s="1"/>
  <c r="BP69"/>
  <c r="BQ69" s="1"/>
  <c r="AN69" s="1"/>
  <c r="BP68"/>
  <c r="BQ68" s="1"/>
  <c r="AN68" s="1"/>
  <c r="BP67"/>
  <c r="BQ67" s="1"/>
  <c r="BF67" s="1"/>
  <c r="BP66"/>
  <c r="BQ66" s="1"/>
  <c r="BF66" s="1"/>
  <c r="BP65"/>
  <c r="BQ65" s="1"/>
  <c r="AN65" s="1"/>
  <c r="BP64"/>
  <c r="BQ64" s="1"/>
  <c r="BF64" s="1"/>
  <c r="S64"/>
  <c r="BP62"/>
  <c r="BQ62" s="1"/>
  <c r="AN62" s="1"/>
  <c r="BP61"/>
  <c r="BQ61" s="1"/>
  <c r="BP60"/>
  <c r="BQ60" s="1"/>
  <c r="AN60" s="1"/>
  <c r="S60"/>
  <c r="S59"/>
  <c r="S58"/>
  <c r="BH57"/>
  <c r="S57"/>
  <c r="BP54"/>
  <c r="BQ54" s="1"/>
  <c r="AN54" s="1"/>
  <c r="BP53"/>
  <c r="BQ53" s="1"/>
  <c r="BP52"/>
  <c r="BQ52" s="1"/>
  <c r="BP51"/>
  <c r="BQ51" s="1"/>
  <c r="BF51" s="1"/>
  <c r="BP50"/>
  <c r="BQ50" s="1"/>
  <c r="AN50" s="1"/>
  <c r="BP49"/>
  <c r="BQ49" s="1"/>
  <c r="BF49" s="1"/>
  <c r="BP48"/>
  <c r="BQ48" s="1"/>
  <c r="AN48" s="1"/>
  <c r="BH48"/>
  <c r="S48"/>
  <c r="BJ47"/>
  <c r="S47"/>
  <c r="S46"/>
  <c r="S45"/>
  <c r="BP43"/>
  <c r="BQ43" s="1"/>
  <c r="S43"/>
  <c r="S42"/>
  <c r="BJ38"/>
  <c r="S38"/>
  <c r="BP36"/>
  <c r="BQ36" s="1"/>
  <c r="S36"/>
  <c r="BP34"/>
  <c r="BQ34" s="1"/>
  <c r="AN34" s="1"/>
  <c r="BP33"/>
  <c r="BQ33" s="1"/>
  <c r="BP32"/>
  <c r="BQ32" s="1"/>
  <c r="S32"/>
  <c r="BH17"/>
  <c r="BJ16"/>
  <c r="BR70"/>
  <c r="BS70" s="1"/>
  <c r="BR66"/>
  <c r="BS66" s="1"/>
  <c r="BR62"/>
  <c r="BS62" s="1"/>
  <c r="AB61"/>
  <c r="BR58"/>
  <c r="BS58" s="1"/>
  <c r="AB57"/>
  <c r="BR54"/>
  <c r="BS54" s="1"/>
  <c r="BR50"/>
  <c r="BS50" s="1"/>
  <c r="BR46"/>
  <c r="BS46" s="1"/>
  <c r="AB45"/>
  <c r="BR42"/>
  <c r="BS42" s="1"/>
  <c r="AB41"/>
  <c r="BR38"/>
  <c r="BS38" s="1"/>
  <c r="AB37"/>
  <c r="BR34"/>
  <c r="BS34" s="1"/>
  <c r="AB33"/>
  <c r="AA63"/>
  <c r="AA61"/>
  <c r="AA59"/>
  <c r="AA57"/>
  <c r="AA47"/>
  <c r="AA43"/>
  <c r="AA41"/>
  <c r="AA37"/>
  <c r="AA35"/>
  <c r="AA33"/>
  <c r="AB62"/>
  <c r="AB58"/>
  <c r="AB46"/>
  <c r="AB42"/>
  <c r="AB38"/>
  <c r="AB34"/>
  <c r="AR53"/>
  <c r="BJ41"/>
  <c r="BR69"/>
  <c r="BS69" s="1"/>
  <c r="AD64"/>
  <c r="Z62"/>
  <c r="Y62"/>
  <c r="AD60"/>
  <c r="BJ60"/>
  <c r="Z58"/>
  <c r="Y58"/>
  <c r="Z48"/>
  <c r="Y48"/>
  <c r="AD46"/>
  <c r="BH46"/>
  <c r="Z44"/>
  <c r="Y44"/>
  <c r="AD42"/>
  <c r="AD38"/>
  <c r="Z36"/>
  <c r="Y36"/>
  <c r="AD34"/>
  <c r="Z32"/>
  <c r="AC32"/>
  <c r="BR61"/>
  <c r="BS61" s="1"/>
  <c r="BR57"/>
  <c r="BS57" s="1"/>
  <c r="BR47"/>
  <c r="BS47" s="1"/>
  <c r="BR43"/>
  <c r="BS43" s="1"/>
  <c r="BR37"/>
  <c r="BS37" s="1"/>
  <c r="BR33"/>
  <c r="BS33" s="1"/>
  <c r="Z47"/>
  <c r="Z43"/>
  <c r="BR65"/>
  <c r="BS65" s="1"/>
  <c r="BR67"/>
  <c r="BS67" s="1"/>
  <c r="BH23"/>
  <c r="BH64"/>
  <c r="BH60"/>
  <c r="BJ18"/>
  <c r="BH55"/>
  <c r="AD32"/>
  <c r="BR41"/>
  <c r="BS41" s="1"/>
  <c r="BH15"/>
  <c r="K12" i="6"/>
  <c r="K9" i="2" s="1"/>
  <c r="K14" s="1"/>
  <c r="A2" i="5"/>
  <c r="C6" s="1"/>
  <c r="BJ31" i="4"/>
  <c r="L8" i="6"/>
  <c r="L12" s="1"/>
  <c r="L9" i="2" s="1"/>
  <c r="BR55" i="4"/>
  <c r="BS55" s="1"/>
  <c r="A2" i="7"/>
  <c r="A2" i="4"/>
  <c r="M31"/>
  <c r="BG31"/>
  <c r="M30"/>
  <c r="BG30"/>
  <c r="M28"/>
  <c r="BG28"/>
  <c r="M29"/>
  <c r="BG29"/>
  <c r="AO37"/>
  <c r="R37"/>
  <c r="M27"/>
  <c r="BG27"/>
  <c r="BG51"/>
  <c r="AO51"/>
  <c r="R51"/>
  <c r="BG64"/>
  <c r="AO64"/>
  <c r="R64"/>
  <c r="AO34"/>
  <c r="R34"/>
  <c r="AO33"/>
  <c r="R33"/>
  <c r="AO35"/>
  <c r="R35"/>
  <c r="BG38"/>
  <c r="AO38"/>
  <c r="R38"/>
  <c r="AO32"/>
  <c r="R32"/>
  <c r="AN88"/>
  <c r="O18" i="5"/>
  <c r="J14"/>
  <c r="I51" i="4"/>
  <c r="D46" i="14" s="1"/>
  <c r="F46" s="1"/>
  <c r="K51" i="4"/>
  <c r="M51"/>
  <c r="J51"/>
  <c r="L51"/>
  <c r="I64"/>
  <c r="D59" i="14" s="1"/>
  <c r="F59" s="1"/>
  <c r="L64" i="4"/>
  <c r="K64"/>
  <c r="J64"/>
  <c r="M64"/>
  <c r="I34"/>
  <c r="D29" i="14" s="1"/>
  <c r="F29" s="1"/>
  <c r="J34" i="4"/>
  <c r="K34"/>
  <c r="J33"/>
  <c r="I33"/>
  <c r="D28" i="14" s="1"/>
  <c r="F28" s="1"/>
  <c r="K33" i="4"/>
  <c r="I35"/>
  <c r="D30" i="14" s="1"/>
  <c r="F30" s="1"/>
  <c r="K35" i="4"/>
  <c r="J35"/>
  <c r="I38"/>
  <c r="D33" i="14" s="1"/>
  <c r="F33" s="1"/>
  <c r="L38" i="4"/>
  <c r="J38"/>
  <c r="M38"/>
  <c r="K38"/>
  <c r="I32"/>
  <c r="D27" i="14" s="1"/>
  <c r="F27" s="1"/>
  <c r="J32" i="4"/>
  <c r="K32"/>
  <c r="BJ55"/>
  <c r="BJ35"/>
  <c r="J37"/>
  <c r="I37"/>
  <c r="D32" i="14" s="1"/>
  <c r="F32" s="1"/>
  <c r="K37" i="4"/>
  <c r="L37" s="1"/>
  <c r="BJ19"/>
  <c r="BQ14"/>
  <c r="AN14" s="1"/>
  <c r="AF14"/>
  <c r="BS14"/>
  <c r="AH14"/>
  <c r="BS15"/>
  <c r="AH15"/>
  <c r="BQ15"/>
  <c r="AN15" s="1"/>
  <c r="AF15"/>
  <c r="AF13"/>
  <c r="BS13"/>
  <c r="AH13"/>
  <c r="G43" i="1"/>
  <c r="E9" i="2"/>
  <c r="E14" s="1"/>
  <c r="J31" i="5"/>
  <c r="J32" s="1"/>
  <c r="O29"/>
  <c r="C42" i="3"/>
  <c r="O26" i="5"/>
  <c r="C40" i="3"/>
  <c r="O28" i="5"/>
  <c r="C44" i="3"/>
  <c r="R18" i="5"/>
  <c r="M30"/>
  <c r="N25"/>
  <c r="N30" s="1"/>
  <c r="N23"/>
  <c r="O23" s="1"/>
  <c r="N17"/>
  <c r="O17" s="1"/>
  <c r="P24"/>
  <c r="K24"/>
  <c r="R25"/>
  <c r="R23"/>
  <c r="R17"/>
  <c r="Q24"/>
  <c r="R14"/>
  <c r="R29"/>
  <c r="R22"/>
  <c r="R28"/>
  <c r="N19"/>
  <c r="O19" s="1"/>
  <c r="M24"/>
  <c r="O16"/>
  <c r="K30"/>
  <c r="P30"/>
  <c r="P14"/>
  <c r="Q30"/>
  <c r="R21"/>
  <c r="BQ102" i="4"/>
  <c r="BQ100"/>
  <c r="BQ98"/>
  <c r="BQ96"/>
  <c r="BF46"/>
  <c r="BF38"/>
  <c r="BF30"/>
  <c r="AN30"/>
  <c r="BF25"/>
  <c r="AN25"/>
  <c r="BF23"/>
  <c r="AN23"/>
  <c r="BF21"/>
  <c r="AN21"/>
  <c r="BF19"/>
  <c r="AN19"/>
  <c r="BF17"/>
  <c r="AN17"/>
  <c r="AN89"/>
  <c r="AP69"/>
  <c r="AR69"/>
  <c r="AP65"/>
  <c r="AR65"/>
  <c r="AR61"/>
  <c r="AP57"/>
  <c r="AR57"/>
  <c r="AP49"/>
  <c r="AR49"/>
  <c r="AR33"/>
  <c r="AN87"/>
  <c r="AR68"/>
  <c r="AP68"/>
  <c r="AR64"/>
  <c r="AP64"/>
  <c r="AR60"/>
  <c r="AP60"/>
  <c r="AR56"/>
  <c r="AR52"/>
  <c r="AP52"/>
  <c r="AR48"/>
  <c r="AP48"/>
  <c r="AR36"/>
  <c r="AR30"/>
  <c r="AP30"/>
  <c r="AP28"/>
  <c r="AR28"/>
  <c r="AP25"/>
  <c r="AR25"/>
  <c r="AP21"/>
  <c r="AR21"/>
  <c r="AP17"/>
  <c r="AR17"/>
  <c r="AR29"/>
  <c r="AP29"/>
  <c r="AR22"/>
  <c r="AP22"/>
  <c r="AR18"/>
  <c r="AP18"/>
  <c r="AR14"/>
  <c r="AP14"/>
  <c r="AR91"/>
  <c r="BF59"/>
  <c r="BF57"/>
  <c r="AN57"/>
  <c r="AN47"/>
  <c r="BF31"/>
  <c r="AN31"/>
  <c r="BF24"/>
  <c r="AN24"/>
  <c r="BF22"/>
  <c r="AN22"/>
  <c r="BF20"/>
  <c r="AN20"/>
  <c r="BF18"/>
  <c r="AN18"/>
  <c r="BF16"/>
  <c r="AN16"/>
  <c r="BW91"/>
  <c r="AP91"/>
  <c r="BW89"/>
  <c r="BW87"/>
  <c r="AP87"/>
  <c r="AP67"/>
  <c r="AR67"/>
  <c r="AP59"/>
  <c r="AP51"/>
  <c r="AR51"/>
  <c r="AP47"/>
  <c r="AR47"/>
  <c r="AP31"/>
  <c r="AR31"/>
  <c r="AP23"/>
  <c r="AR23"/>
  <c r="AP19"/>
  <c r="AR19"/>
  <c r="AP15"/>
  <c r="AR15"/>
  <c r="AP13"/>
  <c r="AR13"/>
  <c r="AN91"/>
  <c r="AR70"/>
  <c r="AP70"/>
  <c r="AR66"/>
  <c r="AP66"/>
  <c r="AR62"/>
  <c r="AP62"/>
  <c r="AR54"/>
  <c r="AP54"/>
  <c r="AR50"/>
  <c r="AP50"/>
  <c r="AR38"/>
  <c r="AP38"/>
  <c r="AR34"/>
  <c r="AP34"/>
  <c r="AR27"/>
  <c r="AP27"/>
  <c r="AR24"/>
  <c r="AP24"/>
  <c r="AR20"/>
  <c r="AP20"/>
  <c r="AR16"/>
  <c r="AP16"/>
  <c r="AR89"/>
  <c r="AR87"/>
  <c r="AP89"/>
  <c r="N9" i="2" l="1"/>
  <c r="N14" s="1"/>
  <c r="L32" i="4"/>
  <c r="AH32" s="1"/>
  <c r="BA36"/>
  <c r="AP39"/>
  <c r="AN39"/>
  <c r="AR46"/>
  <c r="AP35"/>
  <c r="AN35"/>
  <c r="AR44"/>
  <c r="AR41"/>
  <c r="AN44"/>
  <c r="AP43"/>
  <c r="AR63"/>
  <c r="AR42"/>
  <c r="BH41"/>
  <c r="BF63"/>
  <c r="AN37"/>
  <c r="AP37"/>
  <c r="AR45"/>
  <c r="BF40"/>
  <c r="AP42"/>
  <c r="AR43"/>
  <c r="AP63"/>
  <c r="BF37"/>
  <c r="AN63"/>
  <c r="AR40"/>
  <c r="BJ43"/>
  <c r="BJ63"/>
  <c r="BH33"/>
  <c r="AP32"/>
  <c r="BF42"/>
  <c r="BH42"/>
  <c r="AN32"/>
  <c r="BJ42"/>
  <c r="BF43"/>
  <c r="BH45"/>
  <c r="S31" i="9"/>
  <c r="AR32" i="4"/>
  <c r="AP40"/>
  <c r="AR37"/>
  <c r="AP45"/>
  <c r="AN40"/>
  <c r="BJ37"/>
  <c r="BH32"/>
  <c r="BJ40"/>
  <c r="N11" i="9"/>
  <c r="AF37" i="4"/>
  <c r="AG37"/>
  <c r="AH37"/>
  <c r="AI37"/>
  <c r="BC37"/>
  <c r="AP46"/>
  <c r="AR58"/>
  <c r="AR35"/>
  <c r="AR39"/>
  <c r="AR59"/>
  <c r="BF35"/>
  <c r="BF39"/>
  <c r="AN59"/>
  <c r="BF61"/>
  <c r="AP36"/>
  <c r="AP44"/>
  <c r="AP56"/>
  <c r="AP33"/>
  <c r="AP61"/>
  <c r="BF44"/>
  <c r="BF56"/>
  <c r="M37"/>
  <c r="BG37"/>
  <c r="T24" i="9"/>
  <c r="U24" s="1"/>
  <c r="BF27" i="4"/>
  <c r="BF41"/>
  <c r="AN33"/>
  <c r="BJ44"/>
  <c r="BJ46"/>
  <c r="AN61"/>
  <c r="F66" i="14"/>
  <c r="AN36" i="4"/>
  <c r="BC36"/>
  <c r="AP58"/>
  <c r="AN56"/>
  <c r="BF58"/>
  <c r="BH59"/>
  <c r="BH36"/>
  <c r="BJ39"/>
  <c r="BH58"/>
  <c r="BJ61"/>
  <c r="BH56"/>
  <c r="AZ36"/>
  <c r="J24" i="9"/>
  <c r="L24"/>
  <c r="AN58" i="4"/>
  <c r="L23" i="9"/>
  <c r="J23"/>
  <c r="S23"/>
  <c r="U23" s="1"/>
  <c r="M22" i="11"/>
  <c r="L34" i="4"/>
  <c r="BY70"/>
  <c r="M23" i="11"/>
  <c r="N14" i="9"/>
  <c r="A27" i="14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M26" i="11"/>
  <c r="M30"/>
  <c r="M19"/>
  <c r="G11" i="15"/>
  <c r="S10"/>
  <c r="S11" s="1"/>
  <c r="BF33" i="4"/>
  <c r="BF45"/>
  <c r="AN49"/>
  <c r="AN51"/>
  <c r="BF36"/>
  <c r="N21" i="9"/>
  <c r="N25"/>
  <c r="N17"/>
  <c r="N13"/>
  <c r="BY32" i="4"/>
  <c r="N23" i="11" s="1"/>
  <c r="BX122" i="4"/>
  <c r="U31" i="9"/>
  <c r="L27"/>
  <c r="L31"/>
  <c r="N22"/>
  <c r="N16"/>
  <c r="BF29" i="4"/>
  <c r="AN43"/>
  <c r="BF28"/>
  <c r="AN64"/>
  <c r="BG33"/>
  <c r="N20" i="9"/>
  <c r="J31"/>
  <c r="J27"/>
  <c r="N26"/>
  <c r="S27"/>
  <c r="U27" s="1"/>
  <c r="N19"/>
  <c r="N23"/>
  <c r="N10"/>
  <c r="N15"/>
  <c r="AH36" i="4"/>
  <c r="AI36"/>
  <c r="AF36"/>
  <c r="AG36"/>
  <c r="AY36"/>
  <c r="BI33"/>
  <c r="AX36"/>
  <c r="BB36" s="1"/>
  <c r="AR55"/>
  <c r="AN55"/>
  <c r="BF54"/>
  <c r="AN66"/>
  <c r="AN70"/>
  <c r="AM30"/>
  <c r="BJ54"/>
  <c r="BH54"/>
  <c r="I71"/>
  <c r="I72" s="1"/>
  <c r="I73" s="1"/>
  <c r="I83" s="1"/>
  <c r="I119" s="1"/>
  <c r="BF68"/>
  <c r="K71"/>
  <c r="K72" s="1"/>
  <c r="K73" s="1"/>
  <c r="AP55"/>
  <c r="AN27"/>
  <c r="AN29"/>
  <c r="BF55"/>
  <c r="AN28"/>
  <c r="BF32"/>
  <c r="BF50"/>
  <c r="BF62"/>
  <c r="AE122"/>
  <c r="M35"/>
  <c r="AZ35" s="1"/>
  <c r="AF34"/>
  <c r="BG32"/>
  <c r="BG35"/>
  <c r="BG34"/>
  <c r="BI34"/>
  <c r="AI96"/>
  <c r="BA96"/>
  <c r="AZ33"/>
  <c r="BA34"/>
  <c r="AI13"/>
  <c r="BA13"/>
  <c r="AG13"/>
  <c r="AJ13" s="1"/>
  <c r="AY13"/>
  <c r="AG15"/>
  <c r="AJ15" s="1"/>
  <c r="AY15"/>
  <c r="AI15"/>
  <c r="BA15"/>
  <c r="AI14"/>
  <c r="BA14"/>
  <c r="AG14"/>
  <c r="AM14" s="1"/>
  <c r="AY14"/>
  <c r="BB14" s="1"/>
  <c r="AZ27"/>
  <c r="BA27"/>
  <c r="AY27"/>
  <c r="AX27"/>
  <c r="BA85"/>
  <c r="AI85"/>
  <c r="AY33"/>
  <c r="BA33"/>
  <c r="AX33"/>
  <c r="AY34"/>
  <c r="AZ34"/>
  <c r="BC34"/>
  <c r="AX32"/>
  <c r="BA32"/>
  <c r="AX29"/>
  <c r="BA29"/>
  <c r="AY29"/>
  <c r="AZ29"/>
  <c r="BA28"/>
  <c r="AX28"/>
  <c r="AZ28"/>
  <c r="AY28"/>
  <c r="BA30"/>
  <c r="AX30"/>
  <c r="AZ30"/>
  <c r="AY30"/>
  <c r="AZ31"/>
  <c r="AX31"/>
  <c r="BA31"/>
  <c r="AY31"/>
  <c r="BC33"/>
  <c r="AX34"/>
  <c r="BC35"/>
  <c r="AY32"/>
  <c r="BC32"/>
  <c r="AX95"/>
  <c r="AZ95"/>
  <c r="AY95"/>
  <c r="BA95"/>
  <c r="BF98"/>
  <c r="AG98"/>
  <c r="AY98"/>
  <c r="BF102"/>
  <c r="AG102"/>
  <c r="AY102"/>
  <c r="BB95"/>
  <c r="AJ97"/>
  <c r="AM97"/>
  <c r="BB99"/>
  <c r="BK99" s="1"/>
  <c r="BL99" s="1"/>
  <c r="BO99" s="1"/>
  <c r="BE99"/>
  <c r="AJ101"/>
  <c r="AS101" s="1"/>
  <c r="AT101" s="1"/>
  <c r="AW101" s="1"/>
  <c r="AM101"/>
  <c r="BF96"/>
  <c r="AG96"/>
  <c r="AY96"/>
  <c r="BF100"/>
  <c r="AG100"/>
  <c r="AY100"/>
  <c r="AJ95"/>
  <c r="AM95"/>
  <c r="BB97"/>
  <c r="BE97"/>
  <c r="AJ99"/>
  <c r="AS99" s="1"/>
  <c r="AT99" s="1"/>
  <c r="AW99" s="1"/>
  <c r="AM99"/>
  <c r="BB101"/>
  <c r="BK101" s="1"/>
  <c r="BL101" s="1"/>
  <c r="BO101" s="1"/>
  <c r="BE101"/>
  <c r="AM28"/>
  <c r="AM29"/>
  <c r="AJ27"/>
  <c r="AM27"/>
  <c r="BF14"/>
  <c r="AN13"/>
  <c r="L35"/>
  <c r="AJ30"/>
  <c r="AI32"/>
  <c r="AF32"/>
  <c r="AG34"/>
  <c r="AH34"/>
  <c r="AJ31"/>
  <c r="AS31" s="1"/>
  <c r="AT31" s="1"/>
  <c r="AG32"/>
  <c r="AJ32" s="1"/>
  <c r="AI34"/>
  <c r="AJ28"/>
  <c r="AJ29"/>
  <c r="BF52"/>
  <c r="BF53"/>
  <c r="BF65"/>
  <c r="BF69"/>
  <c r="AP53"/>
  <c r="BF34"/>
  <c r="BF48"/>
  <c r="BF60"/>
  <c r="AN52"/>
  <c r="AN67"/>
  <c r="BT122"/>
  <c r="AN53"/>
  <c r="BF13"/>
  <c r="BF15"/>
  <c r="BJ53"/>
  <c r="BH53"/>
  <c r="BJ52"/>
  <c r="BH52"/>
  <c r="BJ68"/>
  <c r="BH68"/>
  <c r="BH49"/>
  <c r="BJ49"/>
  <c r="BH67"/>
  <c r="BJ67"/>
  <c r="O9" i="2"/>
  <c r="O14" s="1"/>
  <c r="L14"/>
  <c r="BE30" i="4"/>
  <c r="F9" i="2"/>
  <c r="J9" s="1"/>
  <c r="J14" s="1"/>
  <c r="L33" i="4"/>
  <c r="R122"/>
  <c r="L78" s="1"/>
  <c r="AJ14"/>
  <c r="M31" i="5"/>
  <c r="M32" s="1"/>
  <c r="C32" i="3"/>
  <c r="C45" s="1"/>
  <c r="R24" i="5"/>
  <c r="O25"/>
  <c r="O30" s="1"/>
  <c r="R30"/>
  <c r="R31" s="1"/>
  <c r="R32" s="1"/>
  <c r="P31"/>
  <c r="P32" s="1"/>
  <c r="O24"/>
  <c r="Q31"/>
  <c r="Q32" s="1"/>
  <c r="K31"/>
  <c r="K32" s="1"/>
  <c r="N24"/>
  <c r="N31" s="1"/>
  <c r="N32" s="1"/>
  <c r="C8" i="3"/>
  <c r="B8"/>
  <c r="BE36" i="4"/>
  <c r="BB40"/>
  <c r="BE40"/>
  <c r="BB44"/>
  <c r="BE44"/>
  <c r="BB48"/>
  <c r="BE48"/>
  <c r="BB52"/>
  <c r="BE52"/>
  <c r="BB56"/>
  <c r="BE56"/>
  <c r="BB60"/>
  <c r="BE60"/>
  <c r="BB64"/>
  <c r="BE64"/>
  <c r="BB68"/>
  <c r="BE68"/>
  <c r="AN96"/>
  <c r="AN98"/>
  <c r="AN100"/>
  <c r="AN102"/>
  <c r="BB38"/>
  <c r="BE38"/>
  <c r="BB42"/>
  <c r="BE42"/>
  <c r="BB46"/>
  <c r="BE46"/>
  <c r="BB50"/>
  <c r="BE50"/>
  <c r="BB54"/>
  <c r="BE54"/>
  <c r="BB58"/>
  <c r="BE58"/>
  <c r="BB62"/>
  <c r="BE62"/>
  <c r="BB66"/>
  <c r="BE66"/>
  <c r="BB70"/>
  <c r="BE70"/>
  <c r="BE14"/>
  <c r="F14" i="2" l="1"/>
  <c r="M9"/>
  <c r="M14" s="1"/>
  <c r="N24" i="9"/>
  <c r="AS30" i="4"/>
  <c r="AT30" s="1"/>
  <c r="O31" i="5"/>
  <c r="O32" s="1"/>
  <c r="BE34" i="4"/>
  <c r="AY35"/>
  <c r="AJ37"/>
  <c r="AS37" s="1"/>
  <c r="AT37" s="1"/>
  <c r="AM37"/>
  <c r="AX37"/>
  <c r="BA37"/>
  <c r="AY37"/>
  <c r="AZ37"/>
  <c r="BK97"/>
  <c r="BL97" s="1"/>
  <c r="BO97" s="1"/>
  <c r="N26" i="11"/>
  <c r="N30"/>
  <c r="N19"/>
  <c r="AM13" i="4"/>
  <c r="L71"/>
  <c r="L72" s="1"/>
  <c r="BE32"/>
  <c r="AX35"/>
  <c r="BB34"/>
  <c r="M31" i="11"/>
  <c r="N27" i="9"/>
  <c r="N31"/>
  <c r="AJ36" i="4"/>
  <c r="AM36"/>
  <c r="BC122"/>
  <c r="AJ34"/>
  <c r="BB32"/>
  <c r="AM15"/>
  <c r="AS15" s="1"/>
  <c r="AT15" s="1"/>
  <c r="AW15" s="1"/>
  <c r="AS29"/>
  <c r="AT29" s="1"/>
  <c r="AS27"/>
  <c r="AT27" s="1"/>
  <c r="BA35"/>
  <c r="BE95"/>
  <c r="BK95" s="1"/>
  <c r="BL95" s="1"/>
  <c r="BO95" s="1"/>
  <c r="AS97"/>
  <c r="AT97" s="1"/>
  <c r="AW97" s="1"/>
  <c r="AS28"/>
  <c r="AT28" s="1"/>
  <c r="K83"/>
  <c r="M71"/>
  <c r="AS13"/>
  <c r="AT13" s="1"/>
  <c r="AW13" s="1"/>
  <c r="AS95"/>
  <c r="AT95" s="1"/>
  <c r="AW95" s="1"/>
  <c r="AS14"/>
  <c r="AT14" s="1"/>
  <c r="AJ100"/>
  <c r="AS100" s="1"/>
  <c r="AT100" s="1"/>
  <c r="AW100" s="1"/>
  <c r="AM100"/>
  <c r="BE96"/>
  <c r="BB96"/>
  <c r="AJ102"/>
  <c r="AS102" s="1"/>
  <c r="AT102" s="1"/>
  <c r="AW102" s="1"/>
  <c r="AM102"/>
  <c r="BE98"/>
  <c r="BB98"/>
  <c r="BE100"/>
  <c r="BB100"/>
  <c r="AJ96"/>
  <c r="AM96"/>
  <c r="BE102"/>
  <c r="BB102"/>
  <c r="AJ98"/>
  <c r="AS98" s="1"/>
  <c r="AT98" s="1"/>
  <c r="AW98" s="1"/>
  <c r="AM98"/>
  <c r="AG33"/>
  <c r="AF33"/>
  <c r="AI33"/>
  <c r="AH33"/>
  <c r="AI35"/>
  <c r="AH35"/>
  <c r="AG35"/>
  <c r="AF35"/>
  <c r="AM34"/>
  <c r="AS34" s="1"/>
  <c r="AT34" s="1"/>
  <c r="AW34" s="1"/>
  <c r="AM32"/>
  <c r="AS32" s="1"/>
  <c r="AT32" s="1"/>
  <c r="BB30"/>
  <c r="BK30" s="1"/>
  <c r="BL30" s="1"/>
  <c r="BO30" s="1"/>
  <c r="M78"/>
  <c r="B18" i="3" s="1"/>
  <c r="AW22" i="4"/>
  <c r="AW18"/>
  <c r="AW20"/>
  <c r="AW16"/>
  <c r="AW14"/>
  <c r="AW70"/>
  <c r="AW66"/>
  <c r="AW62"/>
  <c r="AW58"/>
  <c r="AW54"/>
  <c r="AW50"/>
  <c r="AW46"/>
  <c r="AW42"/>
  <c r="AW38"/>
  <c r="AW28"/>
  <c r="AW25"/>
  <c r="AW21"/>
  <c r="BB29"/>
  <c r="BE29"/>
  <c r="AW69"/>
  <c r="AW61"/>
  <c r="AW53"/>
  <c r="AW45"/>
  <c r="AW37"/>
  <c r="AW17"/>
  <c r="BB22"/>
  <c r="BE22"/>
  <c r="BE19"/>
  <c r="BB19"/>
  <c r="BB27"/>
  <c r="BE27"/>
  <c r="BB24"/>
  <c r="BE24"/>
  <c r="BB20"/>
  <c r="BE20"/>
  <c r="BB16"/>
  <c r="BE16"/>
  <c r="BK14"/>
  <c r="BL14" s="1"/>
  <c r="BO14" s="1"/>
  <c r="BK70"/>
  <c r="BL70" s="1"/>
  <c r="BO70" s="1"/>
  <c r="BK66"/>
  <c r="BL66" s="1"/>
  <c r="BO66" s="1"/>
  <c r="BK62"/>
  <c r="BL62" s="1"/>
  <c r="BO62" s="1"/>
  <c r="BK58"/>
  <c r="BL58" s="1"/>
  <c r="BO58" s="1"/>
  <c r="BK54"/>
  <c r="BL54" s="1"/>
  <c r="BO54" s="1"/>
  <c r="BK50"/>
  <c r="BL50" s="1"/>
  <c r="BO50" s="1"/>
  <c r="BK46"/>
  <c r="BL46" s="1"/>
  <c r="BO46" s="1"/>
  <c r="BK42"/>
  <c r="BL42" s="1"/>
  <c r="BO42" s="1"/>
  <c r="BK38"/>
  <c r="BL38" s="1"/>
  <c r="BO38" s="1"/>
  <c r="BK34"/>
  <c r="BL34" s="1"/>
  <c r="BO34" s="1"/>
  <c r="BK68"/>
  <c r="BL68" s="1"/>
  <c r="BO68" s="1"/>
  <c r="BK64"/>
  <c r="BL64" s="1"/>
  <c r="BO64" s="1"/>
  <c r="BK60"/>
  <c r="BL60" s="1"/>
  <c r="BO60" s="1"/>
  <c r="BK56"/>
  <c r="BL56" s="1"/>
  <c r="BO56" s="1"/>
  <c r="BK52"/>
  <c r="BL52" s="1"/>
  <c r="BO52" s="1"/>
  <c r="BK48"/>
  <c r="BL48" s="1"/>
  <c r="BO48" s="1"/>
  <c r="BK44"/>
  <c r="BL44" s="1"/>
  <c r="BO44" s="1"/>
  <c r="BK40"/>
  <c r="BL40" s="1"/>
  <c r="BO40" s="1"/>
  <c r="BK36"/>
  <c r="BL36" s="1"/>
  <c r="BO36" s="1"/>
  <c r="BK32"/>
  <c r="BL32" s="1"/>
  <c r="BO32" s="1"/>
  <c r="AW67"/>
  <c r="AW63"/>
  <c r="AW59"/>
  <c r="AW55"/>
  <c r="AW51"/>
  <c r="AW47"/>
  <c r="AW43"/>
  <c r="AW39"/>
  <c r="AW31"/>
  <c r="BE65"/>
  <c r="BB65"/>
  <c r="BE57"/>
  <c r="BB57"/>
  <c r="BE49"/>
  <c r="BB49"/>
  <c r="BE41"/>
  <c r="BB41"/>
  <c r="BE33"/>
  <c r="BB33"/>
  <c r="BE28"/>
  <c r="BB28"/>
  <c r="BE25"/>
  <c r="BB25"/>
  <c r="BE17"/>
  <c r="BB17"/>
  <c r="BB18"/>
  <c r="BE18"/>
  <c r="BE69"/>
  <c r="BB69"/>
  <c r="BE61"/>
  <c r="BB61"/>
  <c r="BE53"/>
  <c r="BB53"/>
  <c r="BE45"/>
  <c r="BB45"/>
  <c r="BE37"/>
  <c r="BB37"/>
  <c r="BE21"/>
  <c r="BB21"/>
  <c r="BE67"/>
  <c r="BB67"/>
  <c r="BE63"/>
  <c r="BB63"/>
  <c r="BE59"/>
  <c r="BB59"/>
  <c r="BE55"/>
  <c r="BB55"/>
  <c r="BE51"/>
  <c r="BB51"/>
  <c r="BE47"/>
  <c r="BB47"/>
  <c r="BE43"/>
  <c r="BB43"/>
  <c r="BE39"/>
  <c r="BB39"/>
  <c r="BB35"/>
  <c r="BE31"/>
  <c r="BB31"/>
  <c r="BE23"/>
  <c r="BB23"/>
  <c r="BE15"/>
  <c r="BB15"/>
  <c r="BE13"/>
  <c r="BB13"/>
  <c r="BE35" l="1"/>
  <c r="N31" i="11"/>
  <c r="C9" i="3"/>
  <c r="AS36" i="4"/>
  <c r="AT36" s="1"/>
  <c r="K119"/>
  <c r="K122" s="1"/>
  <c r="AS96"/>
  <c r="AT96" s="1"/>
  <c r="AW96" s="1"/>
  <c r="M72"/>
  <c r="M74" s="1"/>
  <c r="B12" i="3" s="1"/>
  <c r="B9"/>
  <c r="AJ35" i="4"/>
  <c r="AJ33"/>
  <c r="BK102"/>
  <c r="BL102" s="1"/>
  <c r="BO102" s="1"/>
  <c r="BK100"/>
  <c r="BL100" s="1"/>
  <c r="BO100" s="1"/>
  <c r="BK98"/>
  <c r="BL98" s="1"/>
  <c r="BO98" s="1"/>
  <c r="BK96"/>
  <c r="BL96" s="1"/>
  <c r="BO96" s="1"/>
  <c r="AM35"/>
  <c r="AM33"/>
  <c r="AS33" s="1"/>
  <c r="AT33" s="1"/>
  <c r="AW33" s="1"/>
  <c r="L77"/>
  <c r="C15" i="3" s="1"/>
  <c r="L75" i="4"/>
  <c r="C13" i="3" s="1"/>
  <c r="L74" i="4"/>
  <c r="C12" i="3" s="1"/>
  <c r="AW41" i="4"/>
  <c r="AW49"/>
  <c r="AW57"/>
  <c r="AW65"/>
  <c r="BK18"/>
  <c r="BL18" s="1"/>
  <c r="BO18" s="1"/>
  <c r="BK16"/>
  <c r="BL16" s="1"/>
  <c r="BO16" s="1"/>
  <c r="BK20"/>
  <c r="BL20" s="1"/>
  <c r="BO20" s="1"/>
  <c r="BK24"/>
  <c r="BL24" s="1"/>
  <c r="BO24" s="1"/>
  <c r="BK27"/>
  <c r="BL27" s="1"/>
  <c r="BO27" s="1"/>
  <c r="BK19"/>
  <c r="BL19" s="1"/>
  <c r="BO19" s="1"/>
  <c r="M73"/>
  <c r="L73"/>
  <c r="BK13"/>
  <c r="BL13" s="1"/>
  <c r="BO13" s="1"/>
  <c r="AW24"/>
  <c r="BK15"/>
  <c r="BL15" s="1"/>
  <c r="BO15" s="1"/>
  <c r="BK23"/>
  <c r="BL23" s="1"/>
  <c r="BO23" s="1"/>
  <c r="BK31"/>
  <c r="BL31" s="1"/>
  <c r="BO31" s="1"/>
  <c r="BK35"/>
  <c r="BL35" s="1"/>
  <c r="BO35" s="1"/>
  <c r="BK39"/>
  <c r="BL39" s="1"/>
  <c r="BO39" s="1"/>
  <c r="BK43"/>
  <c r="BL43" s="1"/>
  <c r="BO43" s="1"/>
  <c r="BK47"/>
  <c r="BL47" s="1"/>
  <c r="BO47" s="1"/>
  <c r="BK51"/>
  <c r="BL51" s="1"/>
  <c r="BO51" s="1"/>
  <c r="BK55"/>
  <c r="BL55" s="1"/>
  <c r="BO55" s="1"/>
  <c r="BK59"/>
  <c r="BL59" s="1"/>
  <c r="BO59" s="1"/>
  <c r="BK63"/>
  <c r="BL63" s="1"/>
  <c r="BO63" s="1"/>
  <c r="BK67"/>
  <c r="BL67" s="1"/>
  <c r="BO67" s="1"/>
  <c r="AW23"/>
  <c r="AW30"/>
  <c r="BK21"/>
  <c r="BL21" s="1"/>
  <c r="BO21" s="1"/>
  <c r="AW27"/>
  <c r="AW29"/>
  <c r="AW36"/>
  <c r="AW44"/>
  <c r="AW52"/>
  <c r="AW60"/>
  <c r="AW68"/>
  <c r="BK37"/>
  <c r="BL37" s="1"/>
  <c r="BO37" s="1"/>
  <c r="BK45"/>
  <c r="BL45" s="1"/>
  <c r="BO45" s="1"/>
  <c r="BK53"/>
  <c r="BL53" s="1"/>
  <c r="BO53" s="1"/>
  <c r="BK61"/>
  <c r="BL61" s="1"/>
  <c r="BO61" s="1"/>
  <c r="BK69"/>
  <c r="BL69" s="1"/>
  <c r="BO69" s="1"/>
  <c r="BK17"/>
  <c r="BL17" s="1"/>
  <c r="BO17" s="1"/>
  <c r="BK25"/>
  <c r="BL25" s="1"/>
  <c r="BO25" s="1"/>
  <c r="BK28"/>
  <c r="BL28" s="1"/>
  <c r="BO28" s="1"/>
  <c r="AW32"/>
  <c r="AW40"/>
  <c r="AW48"/>
  <c r="AW56"/>
  <c r="AW64"/>
  <c r="BK33"/>
  <c r="BL33" s="1"/>
  <c r="BO33" s="1"/>
  <c r="BK41"/>
  <c r="BL41" s="1"/>
  <c r="BO41" s="1"/>
  <c r="BK49"/>
  <c r="BL49" s="1"/>
  <c r="BO49" s="1"/>
  <c r="BK57"/>
  <c r="BL57" s="1"/>
  <c r="BO57" s="1"/>
  <c r="BK65"/>
  <c r="BL65" s="1"/>
  <c r="BO65" s="1"/>
  <c r="AW19"/>
  <c r="BK22"/>
  <c r="BL22" s="1"/>
  <c r="BO22" s="1"/>
  <c r="BK29"/>
  <c r="BL29" s="1"/>
  <c r="BO29" s="1"/>
  <c r="M77" l="1"/>
  <c r="B15" i="3" s="1"/>
  <c r="M75" i="4"/>
  <c r="B13" i="3" s="1"/>
  <c r="AS35" i="4"/>
  <c r="AT35" s="1"/>
  <c r="AW35" s="1"/>
  <c r="B10" i="3"/>
  <c r="C10" l="1"/>
  <c r="E12" i="4"/>
  <c r="S12"/>
  <c r="AB12"/>
  <c r="AB122" s="1"/>
  <c r="Y12"/>
  <c r="Y122" s="1"/>
  <c r="AD12"/>
  <c r="AD122" s="1"/>
  <c r="AA12"/>
  <c r="AA122" s="1"/>
  <c r="D12"/>
  <c r="Z12"/>
  <c r="AQ122"/>
  <c r="L81" s="1"/>
  <c r="C24" i="3" s="1"/>
  <c r="AC12" i="4"/>
  <c r="AC122" s="1"/>
  <c r="BJ12"/>
  <c r="AR12"/>
  <c r="BI122"/>
  <c r="M81" s="1"/>
  <c r="B24" i="3" s="1"/>
  <c r="BR12" i="4"/>
  <c r="BP12"/>
  <c r="AX12" s="1"/>
  <c r="AP12"/>
  <c r="BH12"/>
  <c r="BZ12" l="1"/>
  <c r="BV12"/>
  <c r="T9" i="9" s="1"/>
  <c r="AZ12" i="4"/>
  <c r="Z122"/>
  <c r="BQ12"/>
  <c r="BF12" s="1"/>
  <c r="AF12"/>
  <c r="AH12"/>
  <c r="BR122"/>
  <c r="BP122"/>
  <c r="BS12"/>
  <c r="J9" i="9" l="1"/>
  <c r="S9"/>
  <c r="U9" s="1"/>
  <c r="L9"/>
  <c r="BV122" i="4"/>
  <c r="AI12"/>
  <c r="BA12"/>
  <c r="BQ122"/>
  <c r="AY12"/>
  <c r="BB12" s="1"/>
  <c r="AG12"/>
  <c r="AN12"/>
  <c r="BS122"/>
  <c r="BE12" l="1"/>
  <c r="N9" i="9"/>
  <c r="L32"/>
  <c r="AM12" i="4"/>
  <c r="AJ12"/>
  <c r="BK12"/>
  <c r="AS12" l="1"/>
  <c r="AT12" s="1"/>
  <c r="BL12"/>
  <c r="BO12" l="1"/>
  <c r="AW12" l="1"/>
  <c r="C18" i="3"/>
  <c r="BW85" i="4"/>
  <c r="BW122" s="1"/>
  <c r="AR85"/>
  <c r="AR122" s="1"/>
  <c r="L82" s="1"/>
  <c r="C22" i="3" s="1"/>
  <c r="BJ122" i="4"/>
  <c r="M82" s="1"/>
  <c r="B22" i="3" s="1"/>
  <c r="BF85" i="4"/>
  <c r="AN85"/>
  <c r="AP85"/>
  <c r="AP122" s="1"/>
  <c r="L80" s="1"/>
  <c r="C21" i="3" s="1"/>
  <c r="BH85" i="4"/>
  <c r="BH122" s="1"/>
  <c r="M80" s="1"/>
  <c r="B21" i="3" s="1"/>
  <c r="BG85" i="4"/>
  <c r="BG122" s="1"/>
  <c r="M79" s="1"/>
  <c r="AO85"/>
  <c r="AO122" s="1"/>
  <c r="L79" s="1"/>
  <c r="C19" i="3"/>
  <c r="M83" i="4" l="1"/>
  <c r="M119" s="1"/>
  <c r="L83"/>
  <c r="L119" s="1"/>
  <c r="BF122"/>
  <c r="BK85"/>
  <c r="BL85" s="1"/>
  <c r="BO85" s="1"/>
  <c r="AN122"/>
  <c r="AS85"/>
  <c r="AT85" s="1"/>
  <c r="AW85" s="1"/>
  <c r="AF122"/>
  <c r="B19" i="3"/>
  <c r="C16"/>
  <c r="C26" s="1"/>
  <c r="C27" s="1"/>
  <c r="C31" s="1"/>
  <c r="C46" s="1"/>
  <c r="C47" s="1"/>
  <c r="B16"/>
  <c r="AY122" i="4"/>
  <c r="BA122"/>
  <c r="AZ122"/>
  <c r="AI122"/>
  <c r="AH122"/>
  <c r="AG122"/>
  <c r="B26" i="3" l="1"/>
  <c r="B27" s="1"/>
  <c r="B46" s="1"/>
  <c r="B47" s="1"/>
  <c r="I122" i="4"/>
  <c r="L122"/>
  <c r="M122"/>
  <c r="AM122"/>
  <c r="BE122"/>
  <c r="AX122"/>
  <c r="BB122" l="1"/>
  <c r="AJ122"/>
  <c r="AS122" l="1"/>
  <c r="BK122"/>
  <c r="AW122" l="1"/>
  <c r="AT122"/>
  <c r="BO122"/>
  <c r="BL122"/>
  <c r="A7"/>
  <c r="A5" i="9" s="1"/>
  <c r="A7" i="5"/>
  <c r="A4" i="14" s="1"/>
  <c r="N32" i="9"/>
  <c r="J32" l="1"/>
</calcChain>
</file>

<file path=xl/sharedStrings.xml><?xml version="1.0" encoding="utf-8"?>
<sst xmlns="http://schemas.openxmlformats.org/spreadsheetml/2006/main" count="1760" uniqueCount="683">
  <si>
    <t>dk;kZy; dk uke ¼vaxzsth esa½ %</t>
  </si>
  <si>
    <t>Principal</t>
  </si>
  <si>
    <t>dk;kZy; dk uke ¼fgUnh esa½ %</t>
  </si>
  <si>
    <t>vkWfQl vkbZ-Mh- la[;k %</t>
  </si>
  <si>
    <t>ctV vuqeku fofÙk; o"kZ %</t>
  </si>
  <si>
    <t>2018-19</t>
  </si>
  <si>
    <t>ctV en %</t>
  </si>
  <si>
    <t>NON PLAN - BOYS</t>
  </si>
  <si>
    <t>Ø-la-</t>
  </si>
  <si>
    <t>foLr`r ys[kk 'kh"kZd</t>
  </si>
  <si>
    <t>ctV vkoaVu
¼pkyw o"kZ½</t>
  </si>
  <si>
    <t>okLrfod O;; vkadM+s</t>
  </si>
  <si>
    <t>01&amp;laosru</t>
  </si>
  <si>
    <t>03&amp;;k=k O;;</t>
  </si>
  <si>
    <t>04&amp;fpfdRlk O;;</t>
  </si>
  <si>
    <t>dqy ;ksx izi= 8</t>
  </si>
  <si>
    <t>05&amp;dk;kZy; O;;</t>
  </si>
  <si>
    <t>Mkd fVdV</t>
  </si>
  <si>
    <t>nwjHkk"k</t>
  </si>
  <si>
    <t>fctyh ikuh</t>
  </si>
  <si>
    <t>iqLrdsa o pkVZ~l</t>
  </si>
  <si>
    <t>QuhZpj</t>
  </si>
  <si>
    <t>vU; O;;</t>
  </si>
  <si>
    <t>LVs'kujh</t>
  </si>
  <si>
    <t>NikbZ</t>
  </si>
  <si>
    <t>dqy ;ksx dk;kZy; O;; ¼v½</t>
  </si>
  <si>
    <t>28&amp;fofo/k</t>
  </si>
  <si>
    <t>31&amp;iqLrdky;</t>
  </si>
  <si>
    <t>33&amp;iz;ksx'kkyk</t>
  </si>
  <si>
    <t>57&amp;fof'k"V lsok,sa</t>
  </si>
  <si>
    <t>37&amp;ofnZ;ka</t>
  </si>
  <si>
    <t>dqy ;ksx 1 ls 7 ¼c½</t>
  </si>
  <si>
    <t>dqy ;ksx ¼v½$¼c½</t>
  </si>
  <si>
    <t>loZ ;ksx</t>
  </si>
  <si>
    <t>okLrfod vk; ds vkadM+s</t>
  </si>
  <si>
    <t>izos'k o Vh-lh- 'kqYd</t>
  </si>
  <si>
    <t>uhykeh</t>
  </si>
  <si>
    <t>Hkou fdjk;k</t>
  </si>
  <si>
    <t>vU; vk;</t>
  </si>
  <si>
    <t>va'knku @ o`fRrnku</t>
  </si>
  <si>
    <t>dqy ;ksx</t>
  </si>
  <si>
    <t>fooj.k</t>
  </si>
  <si>
    <r>
      <t xml:space="preserve">izos'k 'kqYd </t>
    </r>
    <r>
      <rPr>
        <sz val="10"/>
        <color rgb="FF0000CC"/>
        <rFont val="Times New Roman"/>
        <family val="1"/>
      </rPr>
      <t>@ 10/-</t>
    </r>
  </si>
  <si>
    <r>
      <t xml:space="preserve">LFkkukUrj.k 'kqYd </t>
    </r>
    <r>
      <rPr>
        <sz val="10"/>
        <color rgb="FF0000CC"/>
        <rFont val="Times New Roman"/>
        <family val="1"/>
      </rPr>
      <t>@ 5/-</t>
    </r>
  </si>
  <si>
    <t>Nk= la[;k</t>
  </si>
  <si>
    <t>jkf'k</t>
  </si>
  <si>
    <t>d{kk 9</t>
  </si>
  <si>
    <t>d{kk 10</t>
  </si>
  <si>
    <t>d{kk 11</t>
  </si>
  <si>
    <t>d{kk 12</t>
  </si>
  <si>
    <t>deZpkjh dk uke</t>
  </si>
  <si>
    <t>Post</t>
  </si>
  <si>
    <t>Pay Matrics Level</t>
  </si>
  <si>
    <t>Basic Pay</t>
  </si>
  <si>
    <t>Employee ID No.</t>
  </si>
  <si>
    <t>GPF/PRAN No.</t>
  </si>
  <si>
    <t>Gender</t>
  </si>
  <si>
    <t>Handicaped</t>
  </si>
  <si>
    <t>Cashier 
Allowance</t>
  </si>
  <si>
    <t xml:space="preserve">GAZETTED / NON GAZETTED </t>
  </si>
  <si>
    <t>PRINCIPAL</t>
  </si>
  <si>
    <t>RJAJ199506021728</t>
  </si>
  <si>
    <t>MALE</t>
  </si>
  <si>
    <t>NO</t>
  </si>
  <si>
    <t>GAZETTED - REGULAR</t>
  </si>
  <si>
    <t>TEACHER-I</t>
  </si>
  <si>
    <t>RJPA200529010447</t>
  </si>
  <si>
    <t>FEMALE</t>
  </si>
  <si>
    <t>RJPA199129005853</t>
  </si>
  <si>
    <t>RJPA199529003872</t>
  </si>
  <si>
    <t>TEACHER-II</t>
  </si>
  <si>
    <t>RJPA199029003936</t>
  </si>
  <si>
    <t>RJPA198429005862</t>
  </si>
  <si>
    <t>NON GAZETTED - REGULAR</t>
  </si>
  <si>
    <t>RJJS200520014380</t>
  </si>
  <si>
    <t>TEACHER-III</t>
  </si>
  <si>
    <t>RJPA198329015446</t>
  </si>
  <si>
    <t>RJPA198729017770</t>
  </si>
  <si>
    <t>RJPA198929015480</t>
  </si>
  <si>
    <t>RJPA200729000663</t>
  </si>
  <si>
    <t>RJPA199429002454</t>
  </si>
  <si>
    <t>LIBRARIAN II</t>
  </si>
  <si>
    <t>RJPA199629006201</t>
  </si>
  <si>
    <t>CLERK GRADE II</t>
  </si>
  <si>
    <t>RJPA200029000805</t>
  </si>
  <si>
    <t>YES</t>
  </si>
  <si>
    <t>PEON</t>
  </si>
  <si>
    <t>RJPA199429002349</t>
  </si>
  <si>
    <t>RJPA197629001881</t>
  </si>
  <si>
    <t>in fjDr</t>
  </si>
  <si>
    <t>in</t>
  </si>
  <si>
    <t>inLFkkiu LFkku</t>
  </si>
  <si>
    <t>UP TO</t>
  </si>
  <si>
    <t>FY</t>
  </si>
  <si>
    <t>TOTAL</t>
  </si>
  <si>
    <t>2013-14</t>
  </si>
  <si>
    <t>2014-15</t>
  </si>
  <si>
    <t>2015-16</t>
  </si>
  <si>
    <t>2016-17</t>
  </si>
  <si>
    <t>2017-18</t>
  </si>
  <si>
    <t>jkmekfo lsUnM+k</t>
  </si>
  <si>
    <r>
      <t xml:space="preserve">izos'k ,oa Vh-lh- ls </t>
    </r>
    <r>
      <rPr>
        <b/>
        <u/>
        <sz val="22"/>
        <color rgb="FF0000CC"/>
        <rFont val="DevLys 010"/>
      </rPr>
      <t>vk;</t>
    </r>
    <r>
      <rPr>
        <b/>
        <sz val="22"/>
        <color rgb="FFFF0000"/>
        <rFont val="DevLys 010"/>
      </rPr>
      <t xml:space="preserve"> ds vkadMksa dh uhps izfof"B djsa A</t>
    </r>
  </si>
  <si>
    <r>
      <t xml:space="preserve">okLrfod </t>
    </r>
    <r>
      <rPr>
        <b/>
        <u/>
        <sz val="22"/>
        <color rgb="FF0000CC"/>
        <rFont val="DevLys 010"/>
      </rPr>
      <t>vk;</t>
    </r>
    <r>
      <rPr>
        <b/>
        <sz val="22"/>
        <color rgb="FFFF0000"/>
        <rFont val="DevLys 010"/>
      </rPr>
      <t xml:space="preserve"> ds vkadMksa dh uhps izfof"B djsa A</t>
    </r>
  </si>
  <si>
    <r>
      <t xml:space="preserve">okLrfod </t>
    </r>
    <r>
      <rPr>
        <b/>
        <u/>
        <sz val="22"/>
        <color rgb="FF0000CC"/>
        <rFont val="DevLys 010"/>
      </rPr>
      <t>O;;</t>
    </r>
    <r>
      <rPr>
        <b/>
        <sz val="22"/>
        <color rgb="FFFF0000"/>
        <rFont val="DevLys 010"/>
      </rPr>
      <t xml:space="preserve"> ds vkadMksa dh uhps izfof"B djsa A</t>
    </r>
  </si>
  <si>
    <t>izi= 10</t>
  </si>
  <si>
    <t>vk; dk foLr`r ctV vuqeku foÙkh; o"kZ</t>
  </si>
  <si>
    <t>¼ 1 vizSy ls 31 ekpZ rd ½ dk</t>
  </si>
  <si>
    <t>ctV en %&amp; 0202&amp;f'k{kk] [ksydwn] dyk vkSj laLd`fr]  01&amp;lkekU; f'k{kk]  102&amp;ek/;fed f'k{kk]  01&amp;yM+dksa ds fo|ky;</t>
  </si>
  <si>
    <t>ys[ks dk 'kh"kZ &amp; eq[; 'kh"kZ @ mi&amp;eq[; 'kh"kZ @ y?kq 'kh"kZ @ mi&amp;'ksh"kZ @ xqzi 'kh"kZ</t>
  </si>
  <si>
    <t>okLrfod vk; vkadM+s 
¼xr rhu o"kksZa ds½</t>
  </si>
  <si>
    <t>vk; O;; vuqeku pkyw o"kZ</t>
  </si>
  <si>
    <t xml:space="preserve">okLrfod vk; ds vkadM+s </t>
  </si>
  <si>
    <t>vxLr ls ekpZ rd dk lEHkkfor vk; ¼pkyw o"kZ½</t>
  </si>
  <si>
    <t>l'kksf/kr vuqeku ¼pkyw o"kZ½ ¼08$10½</t>
  </si>
  <si>
    <t>vk; O;;d vuqeku ¼vkxkeh o"kZ½</t>
  </si>
  <si>
    <t>o`f) ¼$½ ;k deh ¼&amp;½</t>
  </si>
  <si>
    <t>dkWye 7 o 8 dk ;ksx</t>
  </si>
  <si>
    <t>dkWye 6 o 11 esa</t>
  </si>
  <si>
    <t>dkWye 9 o 11 esa</t>
  </si>
  <si>
    <t>dkWye 11 o 12 esa</t>
  </si>
  <si>
    <t>GRAND TOTAL</t>
  </si>
  <si>
    <t>01 laosru</t>
  </si>
  <si>
    <t>d- osru jktif=r</t>
  </si>
  <si>
    <t>[k- osru vjktif=r</t>
  </si>
  <si>
    <t xml:space="preserve"> 1- eagxkbZ HkRrk</t>
  </si>
  <si>
    <t xml:space="preserve"> 2- eagxkbZ HkRrk ,fj;j</t>
  </si>
  <si>
    <t xml:space="preserve"> 3- fLFkjhdj.k @ p;fur osru @ vU;</t>
  </si>
  <si>
    <t xml:space="preserve"> 4- edku fdjk;k HkRrk</t>
  </si>
  <si>
    <t xml:space="preserve"> 5- lefiZr vodk'k osru</t>
  </si>
  <si>
    <t xml:space="preserve"> 6- 'kgjh HkRrk</t>
  </si>
  <si>
    <t xml:space="preserve"> 7- cksul</t>
  </si>
  <si>
    <t xml:space="preserve"> 8- fn- 20-01-06 ls fu;qDr dkfeZdksa dks fu;r ikfjJfed</t>
  </si>
  <si>
    <t xml:space="preserve"> 9- iz-v- HkRrk</t>
  </si>
  <si>
    <t>10- jksdM+ HkRrk</t>
  </si>
  <si>
    <t>11- /kqykbZ HkRrk</t>
  </si>
  <si>
    <t>12- lkbZfdy HkRrk</t>
  </si>
  <si>
    <t>13- fodkykax HkRrk</t>
  </si>
  <si>
    <t>14- vU; HkRrs</t>
  </si>
  <si>
    <t>89 va'knk;h is'ku ;kstuk esa ljdkj dk va'knku</t>
  </si>
  <si>
    <t>03 ;k=k O;;</t>
  </si>
  <si>
    <t>04 fpfdRlk O;;</t>
  </si>
  <si>
    <t>;ksx %&amp; QkeZ th-,- 4</t>
  </si>
  <si>
    <t>05 dk;kZy; O;;</t>
  </si>
  <si>
    <t>07 dk;kZy; okguksa dk lapkyu ,oa la/kkj.k</t>
  </si>
  <si>
    <t>08 o`frd ,oa fof'k"B lsok,sa</t>
  </si>
  <si>
    <t>09 fdjk;k jsaV dj vkSj jk;YVh</t>
  </si>
  <si>
    <t>10 izdk'ku</t>
  </si>
  <si>
    <t>11 foKkiu foØ; izpkj vkSj izlkj O;;</t>
  </si>
  <si>
    <t>20 dk;Zdyki laca/kh okguksa dk la/kkj.k</t>
  </si>
  <si>
    <t>28 fofo/k O;;</t>
  </si>
  <si>
    <t>31 iqLrdky; ,oa i= if=dkvksa ij O;;</t>
  </si>
  <si>
    <t>33 iz;ksx'kkyk</t>
  </si>
  <si>
    <t>37 ofnZ;ka</t>
  </si>
  <si>
    <t>41 lafonk O;;</t>
  </si>
  <si>
    <t>57 foHkkxksa dh fof'k"B lsokvksa ij O;;</t>
  </si>
  <si>
    <t>;ksx %&amp; th-,- 5</t>
  </si>
  <si>
    <t>;ksx %&amp; th-,- 4</t>
  </si>
  <si>
    <t>egk;ksx %&amp; ¼th-,- 4 $ th-,- 5½</t>
  </si>
  <si>
    <r>
      <t xml:space="preserve"> </t>
    </r>
    <r>
      <rPr>
        <b/>
        <sz val="14"/>
        <rFont val="DevLys 010"/>
      </rPr>
      <t xml:space="preserve">  ;ksx osru ¼d ls [k rd½</t>
    </r>
    <r>
      <rPr>
        <b/>
        <sz val="12"/>
        <rFont val="DevLys 010"/>
      </rPr>
      <t xml:space="preserve"> </t>
    </r>
    <r>
      <rPr>
        <b/>
        <sz val="12"/>
        <rFont val="Times New Roman"/>
        <family val="1"/>
      </rPr>
      <t>I</t>
    </r>
  </si>
  <si>
    <r>
      <t xml:space="preserve">;ksx laosru </t>
    </r>
    <r>
      <rPr>
        <b/>
        <sz val="12"/>
        <rFont val="Times New Roman"/>
        <family val="1"/>
      </rPr>
      <t>( I + II )</t>
    </r>
  </si>
  <si>
    <t>Government Adarsh Sr. Secondary School INDERWARA (Pali)</t>
  </si>
  <si>
    <t>izi= &amp; 8</t>
  </si>
  <si>
    <t xml:space="preserve">fuf'pr O;;ksa ds foLr`r vuqeku vFkkZr vf/kdkfj;ksa o deZpkfj;ksa </t>
  </si>
  <si>
    <t>ds osru vuqeku o"kZ ¼vizSy ls ekpZ rd½</t>
  </si>
  <si>
    <t>¼ctV vuqeku vf/kdkfj;ksa }kjk foHkkxk/;{k dks izLrqr djus gsrq½</t>
  </si>
  <si>
    <t>¼jkf'k :i;ksa esa½</t>
  </si>
  <si>
    <t>ys[kk 'kh"kZd ¼foLr`r 'kh"kZ½</t>
  </si>
  <si>
    <t>Øe la[;k</t>
  </si>
  <si>
    <t>uke</t>
  </si>
  <si>
    <t>deZpkjh vkbZ-Mh- la[;k</t>
  </si>
  <si>
    <t>th-ih-,Q-@ ,u-ih-,l- uEcj</t>
  </si>
  <si>
    <t>ctV dh izkjfEHkd frfFk ;kfu 1 ekpZ dks deZpkjh dk osru</t>
  </si>
  <si>
    <t>igyh ekpZ ls vfUre Qjojh ds fy;s fu/kkZfjr jde</t>
  </si>
  <si>
    <t>o`f) tks bl vof/k esa gksxh</t>
  </si>
  <si>
    <t>vkxkeh o"kZ ds fy;s jde ¼dkWye 9 vkSj 11 dk ;ksx½</t>
  </si>
  <si>
    <t>pkyw o"kZ ds fy, la'kksf/kr vuqeku</t>
  </si>
  <si>
    <t>fo'ks"k fooj.k</t>
  </si>
  <si>
    <t>Handicap Allo.</t>
  </si>
  <si>
    <t>tUe frfFk</t>
  </si>
  <si>
    <t>fu;qfDr frFkh</t>
  </si>
  <si>
    <t>Cash  All Yes / No</t>
  </si>
  <si>
    <t>Male / Female</t>
  </si>
  <si>
    <t>Liveries Jamadar</t>
  </si>
  <si>
    <t>Liveries Lab Boy</t>
  </si>
  <si>
    <t>Liveries Peon</t>
  </si>
  <si>
    <t>BUDGET ESTIMATE</t>
  </si>
  <si>
    <t>REVISED ESTIMATE</t>
  </si>
  <si>
    <t>is esfVªDl ysoy</t>
  </si>
  <si>
    <t>frfFk o`f)</t>
  </si>
  <si>
    <t>jde o`f)</t>
  </si>
  <si>
    <t xml:space="preserve"> FEMALE</t>
  </si>
  <si>
    <t>Back Increement</t>
  </si>
  <si>
    <t>Salary Gazetted REGULAR</t>
  </si>
  <si>
    <t>Salary Non-Gazetted
REGULAR</t>
  </si>
  <si>
    <t>Salary Gazetted FIXED</t>
  </si>
  <si>
    <t>Salary Non-Gazetted FIXED</t>
  </si>
  <si>
    <t>Arear</t>
  </si>
  <si>
    <t>Bonus</t>
  </si>
  <si>
    <t>Surrender</t>
  </si>
  <si>
    <t>Cash. Allow.</t>
  </si>
  <si>
    <t>Handicap Allow.</t>
  </si>
  <si>
    <t>Washing Allow.</t>
  </si>
  <si>
    <t>TOTAL Regular</t>
  </si>
  <si>
    <t>Net Salary</t>
  </si>
  <si>
    <t>Travelling Expenses</t>
  </si>
  <si>
    <t>Medical Expenses</t>
  </si>
  <si>
    <t>Grand Total</t>
  </si>
  <si>
    <t>Grand Total GA-1</t>
  </si>
  <si>
    <t xml:space="preserve">Guz. </t>
  </si>
  <si>
    <t>Non Guz.</t>
  </si>
  <si>
    <t>Guz. Fix Pay</t>
  </si>
  <si>
    <t>Non Guz. Fix Pay</t>
  </si>
  <si>
    <t>Fix Pay</t>
  </si>
  <si>
    <t>Cash All</t>
  </si>
  <si>
    <t>NPS</t>
  </si>
  <si>
    <t>working</t>
  </si>
  <si>
    <t>SANVIDA</t>
  </si>
  <si>
    <t>Sanvida Amount</t>
  </si>
  <si>
    <t>TOTAL GAZETTED REGULAR</t>
  </si>
  <si>
    <t>TOTAL NON GAZETTED REGULAR</t>
  </si>
  <si>
    <t>C/F  TOTAL GAZETTED + NON GAZETTED REGULAR</t>
  </si>
  <si>
    <t>B/F  TOTAL GAZETTED + NON GAZETTED REGULAR</t>
  </si>
  <si>
    <t>FIXATATION ARREAR</t>
  </si>
  <si>
    <t>SURRENDER LEAVE</t>
  </si>
  <si>
    <t>CASHIER ALLOWANCE @ 75 p.m.</t>
  </si>
  <si>
    <t>HANDICAP ALLOW. @ 6% &amp;Max 600/-</t>
  </si>
  <si>
    <t>WASHING ALLOWANCE @150 p.m.</t>
  </si>
  <si>
    <t xml:space="preserve">TOTAL REGULAR         </t>
  </si>
  <si>
    <t>TOTAL REGULAR</t>
  </si>
  <si>
    <t>GAZETTED FIXED</t>
  </si>
  <si>
    <t>TOTAL GAZETTED FIXED</t>
  </si>
  <si>
    <t>NON GAZETTED FIXED</t>
  </si>
  <si>
    <t>TOTAL NON GAZETTED FIXED</t>
  </si>
  <si>
    <t>TOTAL GAZETTED + NON GAZETTED FIXED</t>
  </si>
  <si>
    <t>TRAVELLING ALLOWANCE</t>
  </si>
  <si>
    <t>MEDICAL ALLOWANCE</t>
  </si>
  <si>
    <t>TOTAL FORMAT 8</t>
  </si>
  <si>
    <t>प्रधानाचार्य</t>
  </si>
  <si>
    <t>प्रधानाध्यापक‌</t>
  </si>
  <si>
    <t>HEAD MASTER</t>
  </si>
  <si>
    <t>कृषि शिक्षा प्रभारी</t>
  </si>
  <si>
    <t>AGRICULTURE INST</t>
  </si>
  <si>
    <t>कृषि अध्यापक</t>
  </si>
  <si>
    <t>AGRICULTURE TEACH</t>
  </si>
  <si>
    <t>प्रशिक्षक</t>
  </si>
  <si>
    <t>INSTRUCTOR</t>
  </si>
  <si>
    <t>व्याख्याता (स्कूल शिक्षा)</t>
  </si>
  <si>
    <t>पुस्तकालय अध्यक्ष श्रेणी I</t>
  </si>
  <si>
    <t>LIBRARIAN I</t>
  </si>
  <si>
    <t>शारीरिक शिक्षक श्रेणी I</t>
  </si>
  <si>
    <t>PTI  I</t>
  </si>
  <si>
    <t>वरिष्ठ अध्यापक</t>
  </si>
  <si>
    <t>शारीरिक शिक्षक श्रेणी II</t>
  </si>
  <si>
    <t>PTI II</t>
  </si>
  <si>
    <t>पुस्तकालय अध्यक्ष श्रेणी II</t>
  </si>
  <si>
    <t>पुस्तकालय अध्यक्ष श्रेणी III</t>
  </si>
  <si>
    <t>LIBRARIAN III</t>
  </si>
  <si>
    <t>अध्यापक</t>
  </si>
  <si>
    <t>शारीरिक शिक्षक श्रेणी III</t>
  </si>
  <si>
    <t>PTI  III</t>
  </si>
  <si>
    <t>सहायक कार्यालय अधीक्षक</t>
  </si>
  <si>
    <t>ASSISTANT</t>
  </si>
  <si>
    <t>प्रयोगशाला सहायक</t>
  </si>
  <si>
    <t>LAB ASST</t>
  </si>
  <si>
    <t>लिपिक ग्रेड I</t>
  </si>
  <si>
    <t>CLERK GRADE I</t>
  </si>
  <si>
    <t>फील्ड मैन व फील्ड रिक़ॉर्डर</t>
  </si>
  <si>
    <t>FIELDMAN &amp; FIELD REC</t>
  </si>
  <si>
    <t>लिपिक ग्रेड II</t>
  </si>
  <si>
    <t>चतुर्थ श्रेणी कर्मचारी</t>
  </si>
  <si>
    <t>जमादार</t>
  </si>
  <si>
    <t>JAMADAR</t>
  </si>
  <si>
    <t>प्रयोगशाला परिचारक</t>
  </si>
  <si>
    <t>LAB BOY</t>
  </si>
  <si>
    <t>ctV en</t>
  </si>
  <si>
    <t>2202-02-109-(27)-(01) STATE FUND</t>
  </si>
  <si>
    <t>2202-GENERAL EDUCATION, 02-SECONDARY EDUCATION, 109-GOVT. SEC. SCHOOL, (27)-BOYS SCHOOL (01) (STATE FUND)</t>
  </si>
  <si>
    <t>NON PLAN - GIRLS</t>
  </si>
  <si>
    <t>2202-02-109-(28)-(01) (STATE FUND)</t>
  </si>
  <si>
    <t>2202-GENERAL EDUCATION, 02-SECONDARY EDUCATION, 109-GOVT. SEC. SCHOOL, (28)-GIRLS SCHOOL (01) (STATE FUND)</t>
  </si>
  <si>
    <t>NON PLAN (TRIBAL AREA) - BOYS</t>
  </si>
  <si>
    <t>2202-02-796-(02)-(06) (STATE FUND)</t>
  </si>
  <si>
    <t>2202-GENERAL EDUCATION, 02-SECONDARY EDUCATION, 796-TRIBAL AREA SUB PLAN, (02)-GOVT. SEC. SCHOOL  (06)-BOYS SCHOOL (STATE FUND)</t>
  </si>
  <si>
    <t>NON PLAN (TRIBAL AREA) - GIRLS</t>
  </si>
  <si>
    <t>2202-02-796-(02)-(07) (STATE FUND)</t>
  </si>
  <si>
    <t>2202-GENERAL EDUCATION, 02-SECONDARY EDUCATION, 796-TRIBAL AREA SUB PLAN, (02)-GOVT. SEC. SCHOOL  (07)-GIRLS SCHOOL (STATE FUND)</t>
  </si>
  <si>
    <t>PLAN - BOYS</t>
  </si>
  <si>
    <t>2202-02-109-(01) (STATE FUND)</t>
  </si>
  <si>
    <t>2202-GENERAL EDUCATION, 02-SECONDARY EDUCATION, 109-GOVT. SEC. SCHOOL, (01)-BOYS SCHOOL (STATE FUND)</t>
  </si>
  <si>
    <t>PLAN - GIRLS</t>
  </si>
  <si>
    <t>2202-02-109-(02) (STATE FUND)</t>
  </si>
  <si>
    <t>2202-GENERAL EDUCATION, 02-SECONDARY EDUCATION, 109-GOVT. SEC. SCHOOL, (02)-GIRLS SCHOOL (STATE FUND)</t>
  </si>
  <si>
    <t>PLAN (TRIBAL AREA) - BOYS</t>
  </si>
  <si>
    <t>2202-02-796-(02)-01 (STATE FUND)</t>
  </si>
  <si>
    <t>2202-GENERAL EDUCATION, 02-SECONDARY EDUCATION, 796-TRIBAL AREA SUB PLAN, (02)-GOVT. SEC. SCHOOL  01-(BOYS SCHOOL) (STATE FUND)</t>
  </si>
  <si>
    <t>PLAN (TRIBAL AREA) - GIRLS</t>
  </si>
  <si>
    <t>2202-02-796-(02)-(02) (STATE FUND)</t>
  </si>
  <si>
    <t>2202-GENERAL EDUCATION, 02-SECONDARY EDUCATION, 796-TRIBAL AREA SUB PLAN, (02)-GOVT. SEC. SCHOOL  (02)-GIRLS SCHOOL (STATE FUND)</t>
  </si>
  <si>
    <t>PLAN (789)</t>
  </si>
  <si>
    <t>2202-02-789-(01)-(01) (STATE FUND)</t>
  </si>
  <si>
    <t>2202-GENERAL EDUCATION, 02-SECONDARY EDUCATION, 789-(01)-(01) (STATE FUND)</t>
  </si>
  <si>
    <t>PLAN (RMSA) - 01</t>
  </si>
  <si>
    <t>2202-02-109-(07)-(01) (STATE FUND)</t>
  </si>
  <si>
    <t>2202-GENERAL EDUCATION, 02-SECONDARY EDUCATION, 109-GOVT. SEC. SCHOOL, (07)-(01) (STATE FUND)</t>
  </si>
  <si>
    <t>PLAN (RMSA) - 02</t>
  </si>
  <si>
    <t>2202-02-109-(07)-(02) (STATE FUND)</t>
  </si>
  <si>
    <t>2202-GENERAL EDUCATION, 02-SECONDARY EDUCATION, 109-GOVT. SEC. SCHOOL, (07)-(02) (STATE FUND)</t>
  </si>
  <si>
    <t>PLAN (RMSA) - 03</t>
  </si>
  <si>
    <t>2202-02-109-(07)-(03) (STATE FUND)</t>
  </si>
  <si>
    <t>2202-GENERAL EDUCATION, 02-SECONDARY EDUCATION, 109-GOVT. SEC. SCHOOL, (07)-(03) (STATE FUND)</t>
  </si>
  <si>
    <t>izi= 9</t>
  </si>
  <si>
    <t xml:space="preserve">         O;; ds foLr`r ctV vuqeku ¼e; laosru foLr`r 'kh"kZ lfgr½</t>
  </si>
  <si>
    <t>fofÙk; o"kZ</t>
  </si>
  <si>
    <t>foHkkx dk uke %&amp; f'k{kk foHkkx</t>
  </si>
  <si>
    <t>nrer @izHk`r</t>
  </si>
  <si>
    <t>okLrfod O;; vkadM+s ¼xr rhu o"kksZa ds½</t>
  </si>
  <si>
    <t xml:space="preserve">okLrfod O;; vkadM+s </t>
  </si>
  <si>
    <t>vxLr ls ekpZ rd dk lEHkkfor O;; ¼pkyw o"kZ½</t>
  </si>
  <si>
    <t>l'kksf/kr vuqeku ¼pkyw o"kZ½ ¼09$11½</t>
  </si>
  <si>
    <t>vk; O;;d vuqeku 
¼vkxkeh o"kZ½</t>
  </si>
  <si>
    <t>uohu vkbZVe gk¡@ugha</t>
  </si>
  <si>
    <t>vxLr ls ekpZ rd ¼xr o"kZ½</t>
  </si>
  <si>
    <t>vizSy ls tqykbZ rd ¼pkyw o"kZ½</t>
  </si>
  <si>
    <t>dkWye 8 o 9 dk ;ksx</t>
  </si>
  <si>
    <t>dfeVsM ¼000000000½</t>
  </si>
  <si>
    <t>uohu ¼000½</t>
  </si>
  <si>
    <t>dqy ¼13$14½</t>
  </si>
  <si>
    <t>dkWye 7 o 12 esa</t>
  </si>
  <si>
    <t>dkWye 10 o 12 esa</t>
  </si>
  <si>
    <t>dkWye 12 o 15 esa</t>
  </si>
  <si>
    <t>laosru</t>
  </si>
  <si>
    <t>ugha</t>
  </si>
  <si>
    <t>;k=k O;;</t>
  </si>
  <si>
    <t>fpfdRlk O;;</t>
  </si>
  <si>
    <t>dk;kZy; O;;</t>
  </si>
  <si>
    <t>fofo/k</t>
  </si>
  <si>
    <t>iqLrdky;</t>
  </si>
  <si>
    <t>iz;ksx'kkyk</t>
  </si>
  <si>
    <t>fof'k"V lsok,sa</t>
  </si>
  <si>
    <t>ofnZ;ka</t>
  </si>
  <si>
    <r>
      <t xml:space="preserve">foHkkx dk uke %&amp; </t>
    </r>
    <r>
      <rPr>
        <b/>
        <sz val="11"/>
        <rFont val="DevLys 010"/>
      </rPr>
      <t>f'k{kk foHkkx</t>
    </r>
  </si>
  <si>
    <t>vk; izi=k &amp;1 ¼[k½</t>
  </si>
  <si>
    <t>Nk=k la[;k</t>
  </si>
  <si>
    <t>RE</t>
  </si>
  <si>
    <t>BE</t>
  </si>
  <si>
    <r>
      <t>LFkkukUrj.k 'kqYd @</t>
    </r>
    <r>
      <rPr>
        <sz val="16"/>
        <rFont val="Calibri"/>
        <family val="2"/>
        <scheme val="minor"/>
      </rPr>
      <t xml:space="preserve"> 5/-</t>
    </r>
  </si>
  <si>
    <r>
      <t xml:space="preserve">izos'k 'kqYd @ </t>
    </r>
    <r>
      <rPr>
        <sz val="16"/>
        <rFont val="Calibri"/>
        <family val="2"/>
        <scheme val="minor"/>
      </rPr>
      <t>10/-</t>
    </r>
  </si>
  <si>
    <t>क्रं.स.</t>
  </si>
  <si>
    <t>कक्षा</t>
  </si>
  <si>
    <t>सामान्य</t>
  </si>
  <si>
    <t>एस.टी.</t>
  </si>
  <si>
    <t>एस.सी.</t>
  </si>
  <si>
    <t>ओ.बी.सी.</t>
  </si>
  <si>
    <t>एस.बी.सी.</t>
  </si>
  <si>
    <t>कुल नामांकित</t>
  </si>
  <si>
    <t>अल्पसंख्यक नामांकन</t>
  </si>
  <si>
    <t>बालक</t>
  </si>
  <si>
    <t>बालिका</t>
  </si>
  <si>
    <t>कुल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</si>
  <si>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</si>
  <si>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</si>
  <si>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</si>
  <si>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</si>
  <si>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</si>
  <si>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</si>
  <si>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</si>
  <si>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</si>
  <si>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</si>
  <si>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</si>
  <si>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</si>
  <si>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</si>
  <si>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Grade Pay</t>
  </si>
  <si>
    <t>FIX PAY / SANVIDA</t>
  </si>
  <si>
    <t>GAZETTED - FIX PAY</t>
  </si>
  <si>
    <t>NON GAZETTED - FIX PAY</t>
  </si>
  <si>
    <t>NON GAZETTED - SANVIDA</t>
  </si>
  <si>
    <t>GAZETTED - SANVIDA</t>
  </si>
  <si>
    <t>HkÙks ,oa ekuns;</t>
  </si>
  <si>
    <r>
      <t xml:space="preserve">;ksx HkÙks ,osa ekuns; </t>
    </r>
    <r>
      <rPr>
        <b/>
        <sz val="12"/>
        <rFont val="Times New Roman"/>
        <family val="1"/>
      </rPr>
      <t>II</t>
    </r>
  </si>
  <si>
    <t xml:space="preserve"> नामांकन</t>
  </si>
  <si>
    <t>izi=</t>
  </si>
  <si>
    <t>ys[kk en &amp; 01 laosru dk x.kuk @ ekax izi=       ¼jkf'k yk[kksaa es½</t>
  </si>
  <si>
    <t>Ø- la-</t>
  </si>
  <si>
    <t>vkWfQl vkbZMh</t>
  </si>
  <si>
    <t>fo|ky; dk uke</t>
  </si>
  <si>
    <t xml:space="preserve">fofÙk; o"kZ esa gksus okyk dqy O;; </t>
  </si>
  <si>
    <t>;ksx dkWye ¼5$6½</t>
  </si>
  <si>
    <t>;ksx dkWye ¼4&amp;7½</t>
  </si>
  <si>
    <t>izi= &amp; 1</t>
  </si>
  <si>
    <t>¼v½ fu;fer Lohd`r inksa dk fooj.k</t>
  </si>
  <si>
    <t>ys[ks dk 'kh"kZ nh?kZ 'kh"kZ@ minh?kZ 'kh"kZ @ y?kq 'kh"kZ @ mi'kh"kZ</t>
  </si>
  <si>
    <t>ukWu Iyku@ Iyku@ lh-,l-,l-</t>
  </si>
  <si>
    <t xml:space="preserve">in uke </t>
  </si>
  <si>
    <t>is eSfVªDl ysoy</t>
  </si>
  <si>
    <t>orZeku inksa dh la[;k ¼dkWye la[;k 5$6&amp;7½</t>
  </si>
  <si>
    <t>fu;fer dk;Zjr</t>
  </si>
  <si>
    <t>fnukad ftlls in fjDr gS</t>
  </si>
  <si>
    <t>1 tuojh 2004 ls iwoZ fu;qDr</t>
  </si>
  <si>
    <t>1 tuojh 2004 ls i'pkr fu;qDr</t>
  </si>
  <si>
    <t>2202 lkekU; f'k{kk</t>
  </si>
  <si>
    <t>L-16</t>
  </si>
  <si>
    <t>-</t>
  </si>
  <si>
    <t>L-13</t>
  </si>
  <si>
    <t>L-12</t>
  </si>
  <si>
    <t>L-10</t>
  </si>
  <si>
    <t>L-11</t>
  </si>
  <si>
    <t>L-9</t>
  </si>
  <si>
    <t>L-5</t>
  </si>
  <si>
    <t>L-1</t>
  </si>
  <si>
    <t>Total</t>
  </si>
  <si>
    <t>GAZETTED SANVIDA</t>
  </si>
  <si>
    <t>TOTAL GAZETTED SANVIDA</t>
  </si>
  <si>
    <t>NON GAZETTED SANVIDA</t>
  </si>
  <si>
    <t>TOTAL NON GAZETTED SANVIDA</t>
  </si>
  <si>
    <t>TOTAL GAZETTED + NON GAZETTED SANVIDA</t>
  </si>
  <si>
    <t>TOTAL REGULAR + FIXED + SANVIDA</t>
  </si>
  <si>
    <t xml:space="preserve">GOVERNMENT OF RAJASTHAN </t>
  </si>
  <si>
    <t>S.No.</t>
  </si>
  <si>
    <t>NAME OF EMPLOYEE</t>
  </si>
  <si>
    <t xml:space="preserve">Total </t>
  </si>
  <si>
    <t xml:space="preserve">Total Rounded </t>
  </si>
  <si>
    <t>Total Rounded</t>
  </si>
  <si>
    <r>
      <t xml:space="preserve">dk;kZy;@fo|ky; esa </t>
    </r>
    <r>
      <rPr>
        <b/>
        <u/>
        <sz val="18"/>
        <color rgb="FF0000CC"/>
        <rFont val="DevLys 010"/>
      </rPr>
      <t>dk;Zjr@LFkkukUrfjr@lsokfuo`r</t>
    </r>
    <r>
      <rPr>
        <b/>
        <sz val="18"/>
        <color rgb="FFFF0000"/>
        <rFont val="DevLys 010"/>
      </rPr>
      <t xml:space="preserve"> deZpkfj;ksa isafMax ;k=k HkRrk ds O;; vkadMksa dh uhps izfof"B djsa A</t>
    </r>
  </si>
  <si>
    <r>
      <t xml:space="preserve">dk;kZy;@fo|ky; esa </t>
    </r>
    <r>
      <rPr>
        <b/>
        <u/>
        <sz val="18"/>
        <color rgb="FF0000CC"/>
        <rFont val="DevLys 010"/>
      </rPr>
      <t>dk;Zjr@LFkkukUrfjr@lsokfuo`r</t>
    </r>
    <r>
      <rPr>
        <b/>
        <sz val="18"/>
        <color rgb="FFFF0000"/>
        <rFont val="DevLys 010"/>
      </rPr>
      <t xml:space="preserve"> deZpkfj;ksa isafMax fpfdRlk O;; ds vkadMksa dh uhps izfof"B djsa A</t>
    </r>
  </si>
  <si>
    <r>
      <t xml:space="preserve">dk;kZy;@fo|ky; esa </t>
    </r>
    <r>
      <rPr>
        <b/>
        <u/>
        <sz val="18"/>
        <color rgb="FF0000CC"/>
        <rFont val="DevLys 010"/>
      </rPr>
      <t>dk;Zjr</t>
    </r>
    <r>
      <rPr>
        <b/>
        <sz val="18"/>
        <color rgb="FFFF0000"/>
        <rFont val="DevLys 010"/>
      </rPr>
      <t xml:space="preserve"> deZpkfj;ksa ,oa </t>
    </r>
    <r>
      <rPr>
        <b/>
        <u/>
        <sz val="18"/>
        <color rgb="FF0000CC"/>
        <rFont val="DevLys 010"/>
      </rPr>
      <t>fjDr in</t>
    </r>
    <r>
      <rPr>
        <b/>
        <sz val="18"/>
        <color rgb="FFFF0000"/>
        <rFont val="DevLys 010"/>
      </rPr>
      <t xml:space="preserve"> ds vkadMksa dh uhps izfof"B djsa A</t>
    </r>
  </si>
  <si>
    <t>¼c½ Lohd`r fjDr inksa ds fo:) foHkkx esa dk;Zjr vU; dkfeZdksa dk fooj.k</t>
  </si>
  <si>
    <t>vk;kstuk fHkUu @vk;kstuk @ dsUnz izofrZr ;kstuk</t>
  </si>
  <si>
    <t>fjDr inksa dh la[;k</t>
  </si>
  <si>
    <t>rnFkZ vLFkkbZ fu;qfDr ¼la[;k½</t>
  </si>
  <si>
    <t>vkSlr izfr O;fDr izfrekg O;; ¼:i;ksa esa½</t>
  </si>
  <si>
    <t>iqufuZ;qfDr ¼la[;k½</t>
  </si>
  <si>
    <t>,stsUlh ek/;e ls ¼la[;k½</t>
  </si>
  <si>
    <t>lsokfuo`r dkfeZd izR;{k lafonk ¼la[;k½</t>
  </si>
  <si>
    <t>dfeZd foHkkx ds ifji= ds vuqlkj ¼la[;k½</t>
  </si>
  <si>
    <t>vU; ¼la[;k½</t>
  </si>
  <si>
    <t>Lohd`r in</t>
  </si>
  <si>
    <t>---</t>
  </si>
  <si>
    <t>PTI I</t>
  </si>
  <si>
    <t>PTI III</t>
  </si>
  <si>
    <t>¼l½ foHkkx esa dk;Zjr vU; dkfeZdksa dk fooj.k ¼Lohd`r inksa ds vfrfjDr½</t>
  </si>
  <si>
    <t>vk;kstuk fHkUu @ vk;kstuk @ dsUnz izofrZr ;kstuk</t>
  </si>
  <si>
    <t>la[;k</t>
  </si>
  <si>
    <t>okf"kZd fofÙk; Hkkj ¼:i;s lgL= esa½</t>
  </si>
  <si>
    <t>izi=k la[;k 13</t>
  </si>
  <si>
    <t>vuqlwfpr tkfr ds Nk=k o Nk=kkvksa ds fy, Nk=ko``fRr dk fooj.k</t>
  </si>
  <si>
    <t>d{kk</t>
  </si>
  <si>
    <t>nj</t>
  </si>
  <si>
    <t>xr o"kZ dh cdk;k jkf'k</t>
  </si>
  <si>
    <t>o"kZ</t>
  </si>
  <si>
    <t>;ksx ¼5$7½</t>
  </si>
  <si>
    <t>d{kk 6 ls 8 rd</t>
  </si>
  <si>
    <t>=</t>
  </si>
  <si>
    <t>d{kk 9 ls 10 rd</t>
  </si>
  <si>
    <t>d{kk 11 ls 12 rd</t>
  </si>
  <si>
    <t>Nk=k</t>
  </si>
  <si>
    <t xml:space="preserve">Nk= </t>
  </si>
  <si>
    <t>Nk= @ Nk=k la[;k</t>
  </si>
  <si>
    <t>izi= la[;k 13</t>
  </si>
  <si>
    <t>vuqlwfpr tu tkfr ds Nk= o Nk=kvksa ds fy, Nk=o``fRr dk fooj.k</t>
  </si>
  <si>
    <t>vU; fiNM+k oxZ ds Nk= o Nk=kvksa ds fy, Nk=o``fRr dk fooj.k</t>
  </si>
  <si>
    <t>osru fLFkjhdj.k ,oa eagxkbZ HkRrs dk ,fj;j</t>
  </si>
  <si>
    <t>uke vf/kdkjh@ deZpkjh</t>
  </si>
  <si>
    <t>inuke</t>
  </si>
  <si>
    <t>osru</t>
  </si>
  <si>
    <t>c&lt;s gq,s eagxkbZ HkRrs dh nj</t>
  </si>
  <si>
    <t>l'kksf/kr vuqeku ¼pkyw o"kZ½</t>
  </si>
  <si>
    <t>1</t>
  </si>
  <si>
    <t>2</t>
  </si>
  <si>
    <t>3</t>
  </si>
  <si>
    <t>4</t>
  </si>
  <si>
    <t>5</t>
  </si>
  <si>
    <t>6</t>
  </si>
  <si>
    <t>7</t>
  </si>
  <si>
    <t>Total:</t>
  </si>
  <si>
    <t>vodk'k udnhdj.k Hkqxrku fooj.k</t>
  </si>
  <si>
    <t xml:space="preserve">BUDGET HEAD : 2071 - Pension and other Retirement Benefits  115 - Leave encashment    01 - Civil  104 - Gratuities </t>
  </si>
  <si>
    <t>lsokfuo`fr frfFk</t>
  </si>
  <si>
    <t>vodk'k dh la[;k</t>
  </si>
  <si>
    <t>ewy osru</t>
  </si>
  <si>
    <t>Hkqxrku ;ksX; dqy jkf'k</t>
  </si>
  <si>
    <t>&amp;</t>
  </si>
  <si>
    <t xml:space="preserve">ofnZ;ksa lEcU/kh O;; fooj.k </t>
  </si>
  <si>
    <t>ctV vkoaVu</t>
  </si>
  <si>
    <t>dk;Zjr in</t>
  </si>
  <si>
    <t>ofnZ;ksa ij O;; gsrq jkf'k dh vk';drk</t>
  </si>
  <si>
    <t>cpr ;k vkf/kD;</t>
  </si>
  <si>
    <t>teknkj</t>
  </si>
  <si>
    <t>iz;ksx'kkyk lsod</t>
  </si>
  <si>
    <t xml:space="preserve">prqFkZ Js.kh deZpkjh </t>
  </si>
  <si>
    <t>;ksx</t>
  </si>
  <si>
    <t>iq:"k</t>
  </si>
  <si>
    <t>efgyk</t>
  </si>
  <si>
    <t>Income-Expenditure Estimate Of Salary</t>
  </si>
  <si>
    <t>FIX PAY</t>
  </si>
  <si>
    <t>PRINCIPAL (16)</t>
  </si>
  <si>
    <t>V P (14)</t>
  </si>
  <si>
    <t>H M (14)</t>
  </si>
  <si>
    <t>AGRICULTURE INST (13)</t>
  </si>
  <si>
    <t>TEACHER-1ST (13)</t>
  </si>
  <si>
    <t>PTI  I  (13)</t>
  </si>
  <si>
    <t>AGRICULTURE TEACH (13)</t>
  </si>
  <si>
    <t>INSTRUCTOR (13)</t>
  </si>
  <si>
    <t>JR TEACHER (13)</t>
  </si>
  <si>
    <t>LIBRARIAN I (13)</t>
  </si>
  <si>
    <t>ASSISTANT (11)</t>
  </si>
  <si>
    <t>TEACHER-2ND (12)</t>
  </si>
  <si>
    <t>JR TEACHER (12)</t>
  </si>
  <si>
    <t>PTI   II  (12)</t>
  </si>
  <si>
    <t>LIBRARIAN II (12)</t>
  </si>
  <si>
    <t>LAB ASST (11)</t>
  </si>
  <si>
    <t>UDC (9)</t>
  </si>
  <si>
    <t>PTI  III  (10)</t>
  </si>
  <si>
    <t>TEACHER-3RD (10)</t>
  </si>
  <si>
    <t>LIBRARIAN III (10)</t>
  </si>
  <si>
    <t>LAB ASST (9)</t>
  </si>
  <si>
    <t>LDC (6)</t>
  </si>
  <si>
    <t xml:space="preserve">FIELDMAN &amp; FIELD REC (6) </t>
  </si>
  <si>
    <t>LAB BOY (2)</t>
  </si>
  <si>
    <t>JAMADAR (2)</t>
  </si>
  <si>
    <t>PEON (2)</t>
  </si>
  <si>
    <t>PEON (1)</t>
  </si>
  <si>
    <t>FORM 1-POST WISE SALARY DETAIL - (FIXED -SANVIDA)</t>
  </si>
  <si>
    <t>Name of Employee</t>
  </si>
  <si>
    <t>Date of Joining</t>
  </si>
  <si>
    <t>Date Completion of Probatation</t>
  </si>
  <si>
    <t>Pay Band</t>
  </si>
  <si>
    <t>Salary of 12 Month</t>
  </si>
  <si>
    <t>--</t>
  </si>
  <si>
    <t>FORM 1-POST WISE SALARY DETAIL - FIXED</t>
  </si>
  <si>
    <t>&amp;&amp;</t>
  </si>
  <si>
    <t>ek/;fed fo|ky;ks dh la[;k</t>
  </si>
  <si>
    <t xml:space="preserve">                        ek/;fed f'k{kk                                                       </t>
  </si>
  <si>
    <t>lhfu;j mPp ek/;fed fo|ky;ks dh la[;k</t>
  </si>
  <si>
    <t>1-</t>
  </si>
  <si>
    <t>va'knku @ o`fRrnku ls vk;</t>
  </si>
  <si>
    <t>va'knku o`fRrnku nkrk dk uke o iz;kstu</t>
  </si>
  <si>
    <t>¼d½</t>
  </si>
  <si>
    <t>Jh@Jherh ------------------------------------------------------------</t>
  </si>
  <si>
    <t>¼[k½</t>
  </si>
  <si>
    <t>dqy ;ksx ¼va'knku @ o`fRrnku½</t>
  </si>
  <si>
    <t>2-</t>
  </si>
  <si>
    <t>fofo/k vk; dk fooj.k</t>
  </si>
  <si>
    <t>viz;ksT; lkeku dh uhykeh }kjk vk;</t>
  </si>
  <si>
    <t>'kkyk Hkou dk vU; iz;kstu esa mi;ksx ysus ij 'kqYd ls vk;</t>
  </si>
  <si>
    <t>3-</t>
  </si>
  <si>
    <t>vU; fofo/k vk;</t>
  </si>
  <si>
    <t>dqy fofo/k vk;</t>
  </si>
  <si>
    <t xml:space="preserve">fnukad %            </t>
  </si>
  <si>
    <t>iszf"kr]</t>
  </si>
  <si>
    <t xml:space="preserve">Jheku~ ftyk f'k{kk vf/kdkjh </t>
  </si>
  <si>
    <t>ek/;fed f'k{kk</t>
  </si>
  <si>
    <t>ikyh&amp;ekjokM+</t>
  </si>
  <si>
    <t xml:space="preserve">fo"k; %&amp; </t>
  </si>
  <si>
    <t>egksn;]</t>
  </si>
  <si>
    <t>layXu %&amp;</t>
  </si>
  <si>
    <t>01- izi= 10 &amp; 2 izfr</t>
  </si>
  <si>
    <t>02- d{kkokj ukekadu la[;k &amp; 1 izfr</t>
  </si>
  <si>
    <t>03- izi= 8 laosru &amp; 1 izfr</t>
  </si>
  <si>
    <t>04- izi= v]c]l &amp; 1 izfr</t>
  </si>
  <si>
    <t>05- izi= 9 ¼dk;kZy; O;;½ &amp; 2 izfr</t>
  </si>
  <si>
    <t>06- 01 laosru x.kuk @ ekax i= &amp; 2 izfr</t>
  </si>
  <si>
    <t>07- lsokfuo`r deZpkjh dk cdk;k  mikftZr vodk'k uxnhdj.k lwpuk &amp; 1 izfr</t>
  </si>
  <si>
    <t>09- ofnZ;ksa ls lEcfU/kr lwpuk &amp; 1 izfr</t>
  </si>
  <si>
    <t>10- fQDl is ij dk;Zjr dkfeZdkas dh lwpuk &amp; 1 izfr</t>
  </si>
  <si>
    <t xml:space="preserve">ofnZ;ksa ds O;; dk izi=  </t>
  </si>
  <si>
    <t>Ø-la0</t>
  </si>
  <si>
    <t>dkfeZd dh la[;k</t>
  </si>
  <si>
    <t>iq#"k</t>
  </si>
  <si>
    <t>vf/kD;@cpr</t>
  </si>
  <si>
    <t>7(5X6)</t>
  </si>
  <si>
    <t>10(8X9)</t>
  </si>
  <si>
    <t>11(7+10)</t>
  </si>
  <si>
    <t>13(11-12)</t>
  </si>
  <si>
    <t>Name</t>
  </si>
  <si>
    <t xml:space="preserve">Post </t>
  </si>
  <si>
    <t>01-10-17 to -------</t>
  </si>
  <si>
    <t>Budget (NP,PLAN etc</t>
  </si>
  <si>
    <t>1st 30%</t>
  </si>
  <si>
    <t>2nd 30%</t>
  </si>
  <si>
    <t>S.No</t>
  </si>
  <si>
    <t>3rd 40%</t>
  </si>
  <si>
    <t xml:space="preserve">lkrosa osru ds fQDls'ku ,fj;j O;; dk izi=  </t>
  </si>
  <si>
    <t>izi= &amp; 4</t>
  </si>
  <si>
    <t>dza-la-</t>
  </si>
  <si>
    <t>Iyku@ukWu Iyku</t>
  </si>
  <si>
    <t>lafonk fo|kFkhZ fe= dk uke</t>
  </si>
  <si>
    <t>in ftlds fo:} dk;Zjr gS</t>
  </si>
  <si>
    <t>fo"k;</t>
  </si>
  <si>
    <t>fo|ky; esa izFke dk;Zxzg.k frfFk</t>
  </si>
  <si>
    <t>orZeku l= dh dk;Zxzg.k frfFk</t>
  </si>
  <si>
    <t>okLrfod O;; 2018&amp;19</t>
  </si>
  <si>
    <t>NIL</t>
  </si>
  <si>
    <t>izi= 9 ¼th-,-­2½</t>
  </si>
  <si>
    <t>ctV esU;wvy</t>
  </si>
  <si>
    <t>eq[; 'kh"kZd</t>
  </si>
  <si>
    <t>y/kq 'kh"kZd</t>
  </si>
  <si>
    <t>Account Head</t>
  </si>
  <si>
    <r>
      <t>Actuals</t>
    </r>
    <r>
      <rPr>
        <sz val="10"/>
        <rFont val="Kruti Dev 010"/>
      </rPr>
      <t xml:space="preserve"> </t>
    </r>
    <r>
      <rPr>
        <sz val="12"/>
        <rFont val="Kruti Dev 010"/>
      </rPr>
      <t>okLrfod vkadMs</t>
    </r>
  </si>
  <si>
    <r>
      <t xml:space="preserve">Actuals </t>
    </r>
    <r>
      <rPr>
        <sz val="12"/>
        <rFont val="Kruti Dev 010"/>
      </rPr>
      <t>okLrfod O;; vkadMs</t>
    </r>
  </si>
  <si>
    <t>Revised Estimates for 2018­19</t>
  </si>
  <si>
    <t>Budget Estimate for 2019­20</t>
  </si>
  <si>
    <r>
      <t>Increment</t>
    </r>
    <r>
      <rPr>
        <sz val="10"/>
        <rFont val="Kruti Dev 010"/>
      </rPr>
      <t>¼ $½</t>
    </r>
    <r>
      <rPr>
        <sz val="10"/>
        <rFont val="Arial"/>
        <family val="2"/>
      </rPr>
      <t>or decrese</t>
    </r>
    <r>
      <rPr>
        <sz val="10"/>
        <rFont val="Kruti Dev 010"/>
      </rPr>
      <t>¼­½</t>
    </r>
    <r>
      <rPr>
        <sz val="10"/>
        <rFont val="Arial"/>
        <family val="2"/>
      </rPr>
      <t>between columns</t>
    </r>
  </si>
  <si>
    <t>Total of columns 7 &amp; 8</t>
  </si>
  <si>
    <t>6 and 10</t>
  </si>
  <si>
    <t>9 and 10</t>
  </si>
  <si>
    <t>10 and 11</t>
  </si>
  <si>
    <t>Salary-01</t>
  </si>
  <si>
    <t>T.E.-03</t>
  </si>
  <si>
    <t>Medical-04</t>
  </si>
  <si>
    <t>O.E.-05</t>
  </si>
  <si>
    <t>Rent - 09</t>
  </si>
  <si>
    <t>Misc.-28</t>
  </si>
  <si>
    <t>Library-31</t>
  </si>
  <si>
    <t>Lab-33</t>
  </si>
  <si>
    <t>Liveries-37</t>
  </si>
  <si>
    <t>Spl.Ser-57</t>
  </si>
  <si>
    <t xml:space="preserve">             jktLFkku ljdkj</t>
  </si>
  <si>
    <t xml:space="preserve">             ¼ vuqHkkxkf/kdkfj;kas }kjk vius foHkkxk/;{kks dks izsf"kr djus gsrq½</t>
  </si>
  <si>
    <t>dk;kZy; dk uke %</t>
  </si>
  <si>
    <t>Tuition Fees</t>
  </si>
  <si>
    <t>Admission Fees</t>
  </si>
  <si>
    <t>TC Fees</t>
  </si>
  <si>
    <t>Hkou ds vU; iz;kstu ls vk;</t>
  </si>
  <si>
    <t>fuykeh ls vk;</t>
  </si>
  <si>
    <t>fo|kFkhZ lqj{kk nq?kVZuk chek izhfe;e</t>
  </si>
  <si>
    <t>izi= 9 ¼th-,-­3½</t>
  </si>
  <si>
    <t>2019-20</t>
  </si>
  <si>
    <t>o"kZ 2019&amp;20 dk vuqekfur</t>
  </si>
  <si>
    <t>o"kZ 2019&amp;20 dk vuqekfur vk;</t>
  </si>
  <si>
    <t>o"kZ 2018&amp;19 dk la'kksf/kr vk;</t>
  </si>
  <si>
    <t>o"kZ 2018&amp;19 dk la'kksf/kr</t>
  </si>
  <si>
    <t>feJhyky</t>
  </si>
  <si>
    <t>lkaojey ;kno</t>
  </si>
  <si>
    <t>dY;k.kfalg</t>
  </si>
  <si>
    <t>Hkxokuflag</t>
  </si>
  <si>
    <t>ghjkyky tkV</t>
  </si>
  <si>
    <t>egsUnz iVsy</t>
  </si>
  <si>
    <t>ekaxhyky jkaxh</t>
  </si>
  <si>
    <t>lqeu dqekjh lSuh</t>
  </si>
  <si>
    <t>lqjs'k dqekj vknjk</t>
  </si>
  <si>
    <t>vtquflag</t>
  </si>
  <si>
    <t>Hkykjke</t>
  </si>
  <si>
    <t>yfyrdqekj</t>
  </si>
  <si>
    <t>_f"kds'k</t>
  </si>
  <si>
    <t>eunhiflag</t>
  </si>
  <si>
    <t>vt;dqekj</t>
  </si>
  <si>
    <t>vk; O;;d vuqeku l= 2019&amp;2020 ,oa la'kksf/kr l= 2018&amp;2019</t>
  </si>
  <si>
    <t>o"kZ 201+9&amp;20 dk vuqekfur</t>
  </si>
  <si>
    <t>la'kksf/kr vuqeku l= 2018&amp;19 vk;&amp;O;;d vuqeku lkjka'k 2019&amp;20</t>
  </si>
  <si>
    <t>la'kksf/kr vuqeku 
l= 2018&amp;19</t>
  </si>
  <si>
    <t>vk;&amp;O;;d vuqeku
l= 2019&amp;20</t>
  </si>
  <si>
    <t>07@19 rd dk okLrfod O;;</t>
  </si>
  <si>
    <t>08@19 ls 03@20 rd gksus okyk vuqekfur O;;</t>
  </si>
  <si>
    <t>o"kZ 2019&amp;20 vfrfjDr ds fy;s vko';drk</t>
  </si>
  <si>
    <t>fofÙk; o"kZ 2019&amp;20 esa      01 laosru esa vkoafVr jkf'k</t>
  </si>
  <si>
    <t>pkyw o"kZ 2019&amp;20 esa Lohd`r inksa dh la[;k</t>
  </si>
  <si>
    <t>pkyw o"kZ 2019&amp;20 esa lekIr fd, inksa dh la[;k</t>
  </si>
  <si>
    <t>Lohd`r inksa dh la[;k 
¼fnukad 01-04-19 dh fLFkfr½</t>
  </si>
  <si>
    <t>fnukad 31-08-2019 dks fjDr inksa dh la[;k</t>
  </si>
  <si>
    <t>L I S T   O F   P E N D I N G   T. A.   C L A I M S   FOR FY 2018-19</t>
  </si>
  <si>
    <t>L I S T   O F   P E N D I N G   M E D I C A L   C L A I M S   FOR FY 2018-19</t>
  </si>
  <si>
    <t>o"kZ 2018&amp;19 ds fy, 
la'kksf/kr vuqeku
10 ekg ds fy,</t>
  </si>
  <si>
    <t>o"kZ 2019&amp;20 ds fy, 
vuqekfur jkf'k 
10 ekg ds fy,</t>
  </si>
  <si>
    <t>fofÙk; o"kZ 2019&amp;20</t>
  </si>
  <si>
    <t>For FY - 2019-20 (April 2019 to March 2020)</t>
  </si>
  <si>
    <t>Salary on 1st March 19</t>
  </si>
  <si>
    <t>Budget Estimate For FY 
2019-20</t>
  </si>
  <si>
    <t>Revised Estimate For FY 
2018-19</t>
  </si>
  <si>
    <t>vk; O;;d vuqeku 2018&amp;19 ,oa la'kksf/kr vuqeku 2019&amp;20</t>
  </si>
  <si>
    <t>o"kZ 2018&amp;2019 dk la'kksf/kr vuqeku</t>
  </si>
  <si>
    <t>o"kZ 2019&amp;2020 dk vk; O;;d vuqeku</t>
  </si>
  <si>
    <t>Øekad % jkmekfo@bUnjokM+k@ctV@2019&amp;20@</t>
  </si>
  <si>
    <t>la'kksf/kr ctV vuqeku l= 2018&amp;19 ,oa vk;&amp;O;;d vuqeku 2019&amp;20 izLrqr djus ckcr A</t>
  </si>
  <si>
    <t xml:space="preserve">          mijksDr fo"k; esa fuosnu gS fd LFkkuh; fo|ky; esa dk;Zjr deZpkfj;ksa la'kksf/kr ctV vuqeku l= 2018&amp;19 ,oa vk;&amp;O;;d vuqeku 2019&amp;20 fu/kkZfjr izi= esa rS;kj dj vko';d dk;Zokgh gsrq Jheku dh lsok esa lknj iszf"kr gS A</t>
  </si>
  <si>
    <t>08- 31-07-2019 rd cdk;k ;k=k@fpfdRlk foi=ksa dh o"kZokj vyx&amp;vyx lwph &amp; 1 izfr</t>
  </si>
  <si>
    <t>izkIr ctV vkoaVu 2019&amp;20</t>
  </si>
  <si>
    <t>7th pay Fixation arrear paid &amp; to be paid  during 2019-20</t>
  </si>
  <si>
    <t>lafonk ¼fo|kFkhZ fe= ;kstukUrxZr½ o"kZ 2019&amp;20 ds O;; dh lwpuk</t>
  </si>
  <si>
    <t>Aug.18 to Mar.19</t>
  </si>
  <si>
    <t>April 19 to July 20</t>
  </si>
  <si>
    <t>forh; o"kZ 2019&amp;20 ds fy, fuf'pr O;;ksa¼ vf/kdkfj;ksa ,ao deZpkfj;ksa ds laosru½  dk foLr`r vk;­O;;d vuqeku ¼ vizsy ls ekpZ rd½</t>
  </si>
  <si>
    <t>foÙkh; o"kZ 2019&amp;20 ds fy, fuf'pr O;;ksa dk foLr`r vk;­O;;d vuqeku ¼vizsy]2019 ls ekpZ]2020 rd½</t>
  </si>
  <si>
    <t>jktdh; vkn'kZ mPp ek/;fed fo|ky; bdygjk ¼ Mhx ½</t>
  </si>
</sst>
</file>

<file path=xl/styles.xml><?xml version="1.0" encoding="utf-8"?>
<styleSheet xmlns="http://schemas.openxmlformats.org/spreadsheetml/2006/main">
  <numFmts count="16">
    <numFmt numFmtId="164" formatCode="&quot;L-&quot;0"/>
    <numFmt numFmtId="165" formatCode="&quot;OFFICE ID &quot;0"/>
    <numFmt numFmtId="166" formatCode="&quot;OFFICE ID :- &quot;0"/>
    <numFmt numFmtId="167" formatCode="&quot;D.A. @ &quot;00%"/>
    <numFmt numFmtId="168" formatCode="&quot;D.A. Arear @ &quot;00%"/>
    <numFmt numFmtId="169" formatCode="&quot;HRA @ &quot;00%"/>
    <numFmt numFmtId="170" formatCode="&quot;D.A. @ &quot;0%"/>
    <numFmt numFmtId="171" formatCode="&quot;D.A. AREAR @ &quot;0%"/>
    <numFmt numFmtId="172" formatCode="&quot;H.R.A. @ &quot;0%"/>
    <numFmt numFmtId="173" formatCode="&quot;BONUS @ &quot;0&quot;/-&quot;"/>
    <numFmt numFmtId="174" formatCode="&quot;LP-&quot;0"/>
    <numFmt numFmtId="175" formatCode="&quot;OFFICE ID : &quot;0"/>
    <numFmt numFmtId="176" formatCode="0&quot;/-&quot;"/>
    <numFmt numFmtId="177" formatCode="&quot;DA @&quot;0%"/>
    <numFmt numFmtId="178" formatCode="dd\.mm\.yyyy;@"/>
    <numFmt numFmtId="179" formatCode="[$-F800]dddd\,\ mmmm\ dd\,\ yyyy"/>
  </numFmts>
  <fonts count="145">
    <font>
      <sz val="11"/>
      <color theme="1"/>
      <name val="Calibri"/>
      <family val="2"/>
      <scheme val="minor"/>
    </font>
    <font>
      <b/>
      <sz val="16"/>
      <color rgb="FF0000CC"/>
      <name val="DevLys 010"/>
    </font>
    <font>
      <b/>
      <sz val="16"/>
      <color rgb="FF0000CC"/>
      <name val="Times New Roman"/>
      <family val="1"/>
    </font>
    <font>
      <sz val="8"/>
      <color rgb="FF0000CC"/>
      <name val="Times New Roman"/>
      <family val="1"/>
    </font>
    <font>
      <sz val="11"/>
      <color rgb="FF0000CC"/>
      <name val="Calibri"/>
      <family val="2"/>
      <scheme val="minor"/>
    </font>
    <font>
      <sz val="12"/>
      <color rgb="FF0000CC"/>
      <name val="DevLys 010"/>
    </font>
    <font>
      <b/>
      <sz val="14"/>
      <color rgb="FF0000CC"/>
      <name val="DevLys 010"/>
    </font>
    <font>
      <sz val="10"/>
      <color rgb="FF0000CC"/>
      <name val="Times New Roman"/>
      <family val="1"/>
    </font>
    <font>
      <sz val="11"/>
      <color rgb="FF0000CC"/>
      <name val="Times New Roman"/>
      <family val="1"/>
    </font>
    <font>
      <b/>
      <sz val="11"/>
      <color rgb="FFFF0000"/>
      <name val="Times New Roman"/>
      <family val="1"/>
    </font>
    <font>
      <sz val="11"/>
      <color rgb="FF0000CC"/>
      <name val="DevLys 010"/>
    </font>
    <font>
      <sz val="11"/>
      <color theme="1"/>
      <name val="DevLys 010"/>
    </font>
    <font>
      <b/>
      <sz val="12"/>
      <color rgb="FF0000CC"/>
      <name val="DevLys 010"/>
    </font>
    <font>
      <b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color rgb="FF0000CC"/>
      <name val="Calibri"/>
      <family val="2"/>
      <scheme val="minor"/>
    </font>
    <font>
      <sz val="14"/>
      <color rgb="FF0000CC"/>
      <name val="DevLys 010"/>
    </font>
    <font>
      <b/>
      <sz val="11"/>
      <color rgb="FF0000CC"/>
      <name val="Times New Roman"/>
      <family val="1"/>
    </font>
    <font>
      <sz val="14"/>
      <color rgb="FF0000CC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6"/>
      <name val="DevLys 010"/>
    </font>
    <font>
      <b/>
      <sz val="14"/>
      <name val="Times New Roman"/>
      <family val="1"/>
    </font>
    <font>
      <b/>
      <sz val="14"/>
      <name val="DevLys 010"/>
    </font>
    <font>
      <b/>
      <sz val="12"/>
      <color rgb="FFFF0000"/>
      <name val="Times New Roman"/>
      <family val="1"/>
    </font>
    <font>
      <b/>
      <sz val="22"/>
      <color rgb="FFFF0000"/>
      <name val="DevLys 010"/>
    </font>
    <font>
      <b/>
      <u/>
      <sz val="22"/>
      <color rgb="FF0000CC"/>
      <name val="DevLys 010"/>
    </font>
    <font>
      <sz val="22"/>
      <color rgb="FF0000CC"/>
      <name val="Calibri"/>
      <family val="2"/>
      <scheme val="minor"/>
    </font>
    <font>
      <sz val="16"/>
      <name val="DevLys 010"/>
    </font>
    <font>
      <sz val="10"/>
      <name val="Times New Roman"/>
      <family val="1"/>
    </font>
    <font>
      <sz val="14"/>
      <name val="DevLys 010"/>
    </font>
    <font>
      <b/>
      <sz val="11"/>
      <name val="Times New Roman"/>
      <family val="1"/>
    </font>
    <font>
      <b/>
      <sz val="10"/>
      <color rgb="FF0000CC"/>
      <name val="Times New Roman"/>
      <family val="1"/>
    </font>
    <font>
      <b/>
      <sz val="22"/>
      <color rgb="FF0000CC"/>
      <name val="DevLys 010"/>
    </font>
    <font>
      <b/>
      <u/>
      <sz val="16"/>
      <color theme="1"/>
      <name val="Times New Roman"/>
      <family val="1"/>
    </font>
    <font>
      <sz val="14"/>
      <color theme="1"/>
      <name val="DevLys 010"/>
    </font>
    <font>
      <b/>
      <sz val="18"/>
      <name val="DevLys 010"/>
    </font>
    <font>
      <b/>
      <sz val="10"/>
      <name val="Times New Roman"/>
      <family val="1"/>
    </font>
    <font>
      <sz val="12"/>
      <name val="DevLys 010"/>
    </font>
    <font>
      <sz val="12"/>
      <name val="Arial"/>
      <family val="2"/>
    </font>
    <font>
      <b/>
      <sz val="12"/>
      <name val="DevLys 010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rgb="FF0000CC"/>
      <name val="Calibri"/>
      <family val="2"/>
    </font>
    <font>
      <b/>
      <u/>
      <sz val="20"/>
      <color rgb="FF0000CC"/>
      <name val="Times New Roman"/>
      <family val="1"/>
    </font>
    <font>
      <b/>
      <sz val="20"/>
      <color rgb="FF0000CC"/>
      <name val="Times New Roman"/>
      <family val="1"/>
    </font>
    <font>
      <sz val="20"/>
      <color rgb="FF0000CC"/>
      <name val="Times New Roman"/>
      <family val="1"/>
    </font>
    <font>
      <sz val="12"/>
      <color rgb="FF0000CC"/>
      <name val="Calibri"/>
      <family val="2"/>
    </font>
    <font>
      <b/>
      <sz val="8"/>
      <color rgb="FF0000CC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Times New Roman"/>
      <family val="1"/>
    </font>
    <font>
      <b/>
      <sz val="20"/>
      <name val="DevLys 010"/>
    </font>
    <font>
      <sz val="11"/>
      <name val="DevLys 010"/>
    </font>
    <font>
      <b/>
      <sz val="11"/>
      <name val="DevLys 010"/>
    </font>
    <font>
      <sz val="10"/>
      <name val="DevLys 010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6"/>
      <name val="Calibri"/>
      <family val="2"/>
      <scheme val="minor"/>
    </font>
    <font>
      <sz val="11"/>
      <name val="Calibri"/>
      <family val="2"/>
    </font>
    <font>
      <b/>
      <u/>
      <sz val="16"/>
      <name val="Times New Roman"/>
      <family val="1"/>
    </font>
    <font>
      <b/>
      <sz val="10"/>
      <name val="DevLys 010"/>
    </font>
    <font>
      <sz val="9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CC"/>
      <name val="Calibri"/>
      <family val="2"/>
      <scheme val="minor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name val="Times New Roman"/>
      <family val="1"/>
    </font>
    <font>
      <b/>
      <sz val="8"/>
      <name val="Calibri"/>
      <family val="2"/>
      <scheme val="minor"/>
    </font>
    <font>
      <b/>
      <u/>
      <sz val="12"/>
      <color theme="1"/>
      <name val="Times New Roman"/>
      <family val="1"/>
    </font>
    <font>
      <b/>
      <u/>
      <sz val="18"/>
      <name val="DevLys 010"/>
    </font>
    <font>
      <sz val="22"/>
      <name val="DevLys 010"/>
    </font>
    <font>
      <sz val="14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9"/>
      <name val="Times New Roman"/>
      <family val="1"/>
    </font>
    <font>
      <b/>
      <sz val="18"/>
      <color rgb="FFFF0000"/>
      <name val="DevLys 010"/>
    </font>
    <font>
      <b/>
      <u/>
      <sz val="18"/>
      <color rgb="FF0000CC"/>
      <name val="DevLys 010"/>
    </font>
    <font>
      <b/>
      <sz val="10"/>
      <color rgb="FFFF0000"/>
      <name val="Arial"/>
      <family val="2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sz val="16"/>
      <color theme="1"/>
      <name val="Calibri"/>
      <family val="2"/>
      <scheme val="minor"/>
    </font>
    <font>
      <b/>
      <i/>
      <sz val="14"/>
      <name val="DevLys 010"/>
    </font>
    <font>
      <sz val="9"/>
      <name val="Times New Roman"/>
      <family val="1"/>
    </font>
    <font>
      <sz val="8"/>
      <name val="Times New Roman"/>
      <family val="1"/>
    </font>
    <font>
      <sz val="11"/>
      <color rgb="FF0000FF"/>
      <name val="Calibri"/>
      <family val="2"/>
      <scheme val="minor"/>
    </font>
    <font>
      <b/>
      <sz val="11"/>
      <color rgb="FF0000FF"/>
      <name val="Times New Roman"/>
      <family val="1"/>
    </font>
    <font>
      <sz val="11"/>
      <color rgb="FF0000FF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sz val="12"/>
      <name val="Times New Roman"/>
      <family val="1"/>
    </font>
    <font>
      <b/>
      <i/>
      <sz val="18"/>
      <name val="DevLys 010"/>
    </font>
    <font>
      <b/>
      <sz val="9"/>
      <name val="Calibri"/>
      <family val="2"/>
      <scheme val="minor"/>
    </font>
    <font>
      <sz val="12"/>
      <name val="Arjun Wide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99"/>
      <name val="Calibri"/>
      <family val="2"/>
      <scheme val="minor"/>
    </font>
    <font>
      <sz val="12"/>
      <color rgb="FF000099"/>
      <name val="Calibri"/>
      <family val="2"/>
    </font>
    <font>
      <sz val="10"/>
      <name val="Arjun Wide"/>
    </font>
    <font>
      <sz val="14"/>
      <name val="Arial"/>
      <family val="2"/>
    </font>
    <font>
      <b/>
      <sz val="16"/>
      <color rgb="FF0000CC"/>
      <name val="Arjun Wide"/>
    </font>
    <font>
      <sz val="12"/>
      <color rgb="FF0000CC"/>
      <name val="Arjun Wide"/>
    </font>
    <font>
      <b/>
      <sz val="10"/>
      <color indexed="12"/>
      <name val="Times New Roman"/>
      <family val="1"/>
    </font>
    <font>
      <sz val="14"/>
      <color indexed="12"/>
      <name val="DevLys 010"/>
    </font>
    <font>
      <sz val="10"/>
      <color indexed="12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000099"/>
      <name val="Times New Roman"/>
      <family val="1"/>
    </font>
    <font>
      <b/>
      <sz val="10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i/>
      <u/>
      <sz val="16"/>
      <name val="Times New Roman"/>
      <family val="1"/>
    </font>
    <font>
      <sz val="10"/>
      <color rgb="FF0000CC"/>
      <name val="Arjun Wide"/>
    </font>
    <font>
      <sz val="13"/>
      <color rgb="FF0000CC"/>
      <name val="Arjun Wide"/>
    </font>
    <font>
      <sz val="10"/>
      <name val="Kruti Dev 010"/>
    </font>
    <font>
      <b/>
      <sz val="12"/>
      <name val="Kruti Dev 010"/>
    </font>
    <font>
      <sz val="12"/>
      <name val="Kruti Dev 010"/>
    </font>
    <font>
      <b/>
      <sz val="20"/>
      <name val="Kruti Dev 010"/>
    </font>
    <font>
      <b/>
      <sz val="13"/>
      <name val="Kruti Dev 010"/>
    </font>
    <font>
      <sz val="14"/>
      <name val="Kruti Dev 010"/>
    </font>
    <font>
      <b/>
      <i/>
      <u/>
      <sz val="16"/>
      <name val="Calibri"/>
      <family val="2"/>
      <scheme val="minor"/>
    </font>
    <font>
      <b/>
      <u/>
      <sz val="22"/>
      <color theme="1"/>
      <name val="DevLys 010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22"/>
      <name val="DevLys 010"/>
    </font>
    <font>
      <sz val="15"/>
      <name val="DevLys 010"/>
    </font>
    <font>
      <sz val="18"/>
      <name val="DevLys 010"/>
    </font>
    <font>
      <sz val="15"/>
      <name val="Cambria"/>
      <family val="1"/>
      <scheme val="major"/>
    </font>
    <font>
      <sz val="20"/>
      <name val="DevLys 010"/>
    </font>
    <font>
      <sz val="20"/>
      <name val="Cambria"/>
      <family val="1"/>
      <scheme val="major"/>
    </font>
    <font>
      <sz val="10"/>
      <name val="Cambria"/>
      <family val="1"/>
      <scheme val="major"/>
    </font>
    <font>
      <sz val="24"/>
      <name val="Kruti Dev 010"/>
    </font>
    <font>
      <sz val="16"/>
      <name val="Kruti Dev 010"/>
    </font>
    <font>
      <sz val="13"/>
      <name val="Kruti Dev 010"/>
    </font>
    <font>
      <u/>
      <sz val="14"/>
      <name val="Kruti Dev 010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1"/>
        <bgColor indexed="64"/>
      </patternFill>
    </fill>
  </fills>
  <borders count="60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 style="thin">
        <color indexed="64"/>
      </bottom>
      <diagonal/>
    </border>
    <border>
      <left/>
      <right/>
      <top style="thick">
        <color rgb="FF002060"/>
      </top>
      <bottom style="thin">
        <color indexed="64"/>
      </bottom>
      <diagonal/>
    </border>
    <border>
      <left/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n">
        <color indexed="64"/>
      </top>
      <bottom style="thick">
        <color rgb="FF002060"/>
      </bottom>
      <diagonal/>
    </border>
    <border>
      <left/>
      <right/>
      <top style="thin">
        <color indexed="64"/>
      </top>
      <bottom style="thick">
        <color rgb="FF002060"/>
      </bottom>
      <diagonal/>
    </border>
    <border>
      <left/>
      <right style="thick">
        <color rgb="FF002060"/>
      </right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ck">
        <color rgb="FF002060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002060"/>
      </bottom>
      <diagonal/>
    </border>
    <border>
      <left style="thin">
        <color indexed="64"/>
      </left>
      <right/>
      <top style="thick">
        <color rgb="FF002060"/>
      </top>
      <bottom style="thin">
        <color indexed="64"/>
      </bottom>
      <diagonal/>
    </border>
    <border>
      <left/>
      <right style="thin">
        <color indexed="64"/>
      </right>
      <top style="thick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1">
    <xf numFmtId="0" fontId="0" fillId="0" borderId="0" xfId="0"/>
    <xf numFmtId="0" fontId="7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8" fillId="2" borderId="15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center" vertical="center" shrinkToFit="1"/>
    </xf>
    <xf numFmtId="0" fontId="14" fillId="5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Continuous" vertical="center" wrapText="1"/>
    </xf>
    <xf numFmtId="0" fontId="16" fillId="5" borderId="14" xfId="0" applyFont="1" applyFill="1" applyBorder="1" applyAlignment="1">
      <alignment horizontal="centerContinuous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right" vertical="center"/>
    </xf>
    <xf numFmtId="0" fontId="23" fillId="2" borderId="5" xfId="0" applyFont="1" applyFill="1" applyBorder="1" applyAlignment="1">
      <alignment horizontal="right" vertical="center"/>
    </xf>
    <xf numFmtId="0" fontId="14" fillId="5" borderId="16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8" fillId="2" borderId="15" xfId="0" applyFont="1" applyFill="1" applyBorder="1" applyAlignment="1">
      <alignment horizontal="left" vertical="center" shrinkToFit="1"/>
    </xf>
    <xf numFmtId="0" fontId="29" fillId="2" borderId="15" xfId="0" applyFont="1" applyFill="1" applyBorder="1" applyAlignment="1">
      <alignment horizontal="left" vertical="center" shrinkToFit="1"/>
    </xf>
    <xf numFmtId="164" fontId="20" fillId="0" borderId="15" xfId="0" applyNumberFormat="1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left" vertical="center" shrinkToFit="1"/>
    </xf>
    <xf numFmtId="0" fontId="16" fillId="5" borderId="15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0" fillId="2" borderId="0" xfId="0" applyFill="1"/>
    <xf numFmtId="0" fontId="30" fillId="6" borderId="28" xfId="0" applyFont="1" applyFill="1" applyBorder="1" applyAlignment="1">
      <alignment horizontal="center" vertical="center"/>
    </xf>
    <xf numFmtId="0" fontId="30" fillId="6" borderId="28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vertical="center"/>
    </xf>
    <xf numFmtId="0" fontId="38" fillId="7" borderId="28" xfId="0" applyFont="1" applyFill="1" applyBorder="1" applyAlignment="1">
      <alignment vertical="center"/>
    </xf>
    <xf numFmtId="0" fontId="38" fillId="6" borderId="28" xfId="0" applyFont="1" applyFill="1" applyBorder="1" applyAlignment="1">
      <alignment horizontal="left" vertical="center"/>
    </xf>
    <xf numFmtId="1" fontId="39" fillId="6" borderId="28" xfId="0" applyNumberFormat="1" applyFont="1" applyFill="1" applyBorder="1" applyAlignment="1">
      <alignment horizontal="right" vertical="center" indent="2"/>
    </xf>
    <xf numFmtId="0" fontId="40" fillId="6" borderId="28" xfId="0" applyFont="1" applyFill="1" applyBorder="1" applyAlignment="1">
      <alignment horizontal="right" vertical="center" indent="2"/>
    </xf>
    <xf numFmtId="1" fontId="41" fillId="6" borderId="28" xfId="0" applyNumberFormat="1" applyFont="1" applyFill="1" applyBorder="1" applyAlignment="1">
      <alignment horizontal="right" vertical="center" indent="2"/>
    </xf>
    <xf numFmtId="0" fontId="23" fillId="7" borderId="28" xfId="0" applyFont="1" applyFill="1" applyBorder="1" applyAlignment="1">
      <alignment horizontal="left" vertical="center"/>
    </xf>
    <xf numFmtId="2" fontId="39" fillId="7" borderId="28" xfId="0" applyNumberFormat="1" applyFont="1" applyFill="1" applyBorder="1" applyAlignment="1">
      <alignment horizontal="right" vertical="center" indent="2"/>
    </xf>
    <xf numFmtId="1" fontId="39" fillId="6" borderId="28" xfId="0" applyNumberFormat="1" applyFont="1" applyFill="1" applyBorder="1" applyAlignment="1">
      <alignment horizontal="right" indent="2"/>
    </xf>
    <xf numFmtId="0" fontId="23" fillId="7" borderId="28" xfId="0" applyFont="1" applyFill="1" applyBorder="1" applyAlignment="1">
      <alignment horizontal="right" vertical="center" indent="2"/>
    </xf>
    <xf numFmtId="1" fontId="41" fillId="7" borderId="28" xfId="0" applyNumberFormat="1" applyFont="1" applyFill="1" applyBorder="1" applyAlignment="1">
      <alignment horizontal="right" vertical="center" indent="2"/>
    </xf>
    <xf numFmtId="0" fontId="38" fillId="6" borderId="28" xfId="0" applyFont="1" applyFill="1" applyBorder="1" applyAlignment="1">
      <alignment horizontal="left" vertical="center" indent="2"/>
    </xf>
    <xf numFmtId="0" fontId="30" fillId="7" borderId="28" xfId="0" applyFont="1" applyFill="1" applyBorder="1" applyAlignment="1">
      <alignment horizontal="right" vertical="center" indent="2"/>
    </xf>
    <xf numFmtId="1" fontId="39" fillId="7" borderId="28" xfId="0" applyNumberFormat="1" applyFont="1" applyFill="1" applyBorder="1" applyAlignment="1">
      <alignment horizontal="right" vertical="center" indent="2"/>
    </xf>
    <xf numFmtId="0" fontId="4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0" borderId="0" xfId="0" applyFont="1"/>
    <xf numFmtId="165" fontId="44" fillId="2" borderId="0" xfId="0" applyNumberFormat="1" applyFont="1" applyFill="1" applyAlignment="1">
      <alignment horizontal="center" shrinkToFi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 indent="1"/>
    </xf>
    <xf numFmtId="0" fontId="5" fillId="2" borderId="2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 shrinkToFit="1"/>
    </xf>
    <xf numFmtId="167" fontId="7" fillId="0" borderId="15" xfId="0" applyNumberFormat="1" applyFont="1" applyFill="1" applyBorder="1" applyAlignment="1">
      <alignment horizontal="center" vertical="center" wrapText="1" shrinkToFit="1"/>
    </xf>
    <xf numFmtId="168" fontId="7" fillId="0" borderId="15" xfId="0" applyNumberFormat="1" applyFont="1" applyFill="1" applyBorder="1" applyAlignment="1">
      <alignment horizontal="center" vertical="center" textRotation="90" wrapText="1" shrinkToFit="1"/>
    </xf>
    <xf numFmtId="0" fontId="7" fillId="0" borderId="15" xfId="0" applyFont="1" applyFill="1" applyBorder="1" applyAlignment="1">
      <alignment horizontal="center" vertical="center" textRotation="90" wrapText="1" shrinkToFit="1"/>
    </xf>
    <xf numFmtId="169" fontId="7" fillId="0" borderId="15" xfId="0" applyNumberFormat="1" applyFont="1" applyFill="1" applyBorder="1" applyAlignment="1">
      <alignment horizontal="center" vertical="center" textRotation="90" wrapText="1" shrinkToFit="1"/>
    </xf>
    <xf numFmtId="0" fontId="7" fillId="0" borderId="15" xfId="0" applyFont="1" applyFill="1" applyBorder="1" applyAlignment="1">
      <alignment horizontal="center" vertical="center" textRotation="90" shrinkToFit="1"/>
    </xf>
    <xf numFmtId="0" fontId="32" fillId="0" borderId="15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/>
    <xf numFmtId="14" fontId="7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 shrinkToFit="1"/>
    </xf>
    <xf numFmtId="0" fontId="32" fillId="0" borderId="15" xfId="0" applyFont="1" applyFill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 shrinkToFit="1"/>
    </xf>
    <xf numFmtId="1" fontId="4" fillId="0" borderId="15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0" fillId="0" borderId="15" xfId="0" applyBorder="1"/>
    <xf numFmtId="0" fontId="4" fillId="0" borderId="0" xfId="0" applyFont="1" applyAlignment="1">
      <alignment horizont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4" fillId="2" borderId="0" xfId="0" applyFont="1" applyFill="1" applyProtection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top" wrapText="1"/>
    </xf>
    <xf numFmtId="0" fontId="43" fillId="0" borderId="0" xfId="0" applyFont="1" applyFill="1" applyAlignment="1">
      <alignment vertical="center"/>
    </xf>
    <xf numFmtId="0" fontId="13" fillId="0" borderId="15" xfId="0" applyFont="1" applyFill="1" applyBorder="1"/>
    <xf numFmtId="0" fontId="13" fillId="2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horizontal="center"/>
    </xf>
    <xf numFmtId="0" fontId="13" fillId="2" borderId="15" xfId="0" quotePrefix="1" applyFont="1" applyFill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4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0" fillId="2" borderId="0" xfId="0" applyFont="1" applyFill="1" applyAlignment="1">
      <alignment horizontal="center" vertical="top" wrapText="1"/>
    </xf>
    <xf numFmtId="0" fontId="8" fillId="0" borderId="0" xfId="0" applyFont="1"/>
    <xf numFmtId="0" fontId="50" fillId="0" borderId="0" xfId="0" applyFont="1" applyAlignment="1">
      <alignment horizontal="center"/>
    </xf>
    <xf numFmtId="0" fontId="51" fillId="2" borderId="0" xfId="0" applyFont="1" applyFill="1" applyProtection="1">
      <protection locked="0"/>
    </xf>
    <xf numFmtId="0" fontId="36" fillId="2" borderId="0" xfId="0" applyFont="1" applyFill="1" applyAlignment="1" applyProtection="1">
      <alignment horizontal="left"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56" fillId="2" borderId="15" xfId="0" applyFont="1" applyFill="1" applyBorder="1" applyAlignment="1" applyProtection="1">
      <alignment horizontal="center" vertical="center" wrapText="1"/>
      <protection locked="0"/>
    </xf>
    <xf numFmtId="0" fontId="29" fillId="2" borderId="15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54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center" vertical="center" shrinkToFit="1"/>
    </xf>
    <xf numFmtId="0" fontId="58" fillId="6" borderId="0" xfId="0" applyFont="1" applyFill="1" applyBorder="1" applyAlignment="1">
      <alignment horizontal="center" vertical="center" wrapText="1"/>
    </xf>
    <xf numFmtId="0" fontId="59" fillId="0" borderId="15" xfId="0" applyFont="1" applyBorder="1" applyAlignment="1">
      <alignment horizontal="center" vertical="center" shrinkToFit="1"/>
    </xf>
    <xf numFmtId="0" fontId="51" fillId="2" borderId="0" xfId="0" applyFont="1" applyFill="1"/>
    <xf numFmtId="0" fontId="30" fillId="2" borderId="0" xfId="0" applyFont="1" applyFill="1" applyAlignment="1">
      <alignment vertical="top" wrapText="1"/>
    </xf>
    <xf numFmtId="0" fontId="28" fillId="2" borderId="38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center" vertical="center" wrapText="1"/>
    </xf>
    <xf numFmtId="0" fontId="38" fillId="2" borderId="37" xfId="0" applyFont="1" applyFill="1" applyBorder="1" applyAlignment="1">
      <alignment horizontal="centerContinuous" vertical="center" wrapText="1"/>
    </xf>
    <xf numFmtId="0" fontId="40" fillId="2" borderId="40" xfId="0" applyFont="1" applyFill="1" applyBorder="1" applyAlignment="1">
      <alignment horizontal="centerContinuous" vertical="center" wrapText="1"/>
    </xf>
    <xf numFmtId="0" fontId="61" fillId="2" borderId="0" xfId="0" applyFont="1" applyFill="1" applyAlignment="1" applyProtection="1">
      <alignment vertical="center"/>
    </xf>
    <xf numFmtId="0" fontId="51" fillId="2" borderId="0" xfId="0" applyFont="1" applyFill="1" applyAlignment="1" applyProtection="1">
      <alignment vertical="center"/>
    </xf>
    <xf numFmtId="0" fontId="51" fillId="2" borderId="0" xfId="0" applyFont="1" applyFill="1" applyAlignment="1" applyProtection="1">
      <alignment horizontal="center" vertical="center"/>
    </xf>
    <xf numFmtId="165" fontId="62" fillId="2" borderId="0" xfId="0" applyNumberFormat="1" applyFont="1" applyFill="1" applyAlignment="1" applyProtection="1">
      <alignment horizontal="center" vertical="center" shrinkToFit="1"/>
    </xf>
    <xf numFmtId="0" fontId="36" fillId="2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40" fillId="2" borderId="0" xfId="0" applyFont="1" applyFill="1" applyAlignment="1" applyProtection="1">
      <alignment horizontal="center"/>
    </xf>
    <xf numFmtId="0" fontId="38" fillId="2" borderId="29" xfId="0" applyFont="1" applyFill="1" applyBorder="1" applyAlignment="1" applyProtection="1">
      <alignment horizontal="center" vertical="center" wrapText="1"/>
    </xf>
    <xf numFmtId="0" fontId="38" fillId="2" borderId="26" xfId="0" applyFont="1" applyFill="1" applyBorder="1" applyAlignment="1" applyProtection="1">
      <alignment horizontal="center" vertical="center" wrapText="1"/>
    </xf>
    <xf numFmtId="0" fontId="38" fillId="2" borderId="15" xfId="0" applyFont="1" applyFill="1" applyBorder="1" applyAlignment="1" applyProtection="1">
      <alignment horizontal="center" vertical="center" wrapText="1"/>
    </xf>
    <xf numFmtId="0" fontId="29" fillId="2" borderId="15" xfId="0" applyFont="1" applyFill="1" applyBorder="1" applyAlignment="1" applyProtection="1">
      <alignment horizontal="center" vertical="center" shrinkToFit="1"/>
    </xf>
    <xf numFmtId="0" fontId="30" fillId="2" borderId="15" xfId="0" applyFont="1" applyFill="1" applyBorder="1" applyAlignment="1" applyProtection="1">
      <alignment horizontal="left" vertical="center" shrinkToFit="1"/>
    </xf>
    <xf numFmtId="0" fontId="29" fillId="2" borderId="15" xfId="0" applyNumberFormat="1" applyFont="1" applyFill="1" applyBorder="1" applyAlignment="1" applyProtection="1">
      <alignment horizontal="center" vertical="center" shrinkToFit="1"/>
    </xf>
    <xf numFmtId="1" fontId="29" fillId="2" borderId="15" xfId="0" applyNumberFormat="1" applyFont="1" applyFill="1" applyBorder="1" applyAlignment="1" applyProtection="1">
      <alignment horizontal="center" vertical="center" shrinkToFit="1"/>
    </xf>
    <xf numFmtId="0" fontId="29" fillId="2" borderId="15" xfId="0" applyFont="1" applyFill="1" applyBorder="1" applyAlignment="1" applyProtection="1">
      <alignment horizontal="left" vertical="center" shrinkToFit="1"/>
    </xf>
    <xf numFmtId="164" fontId="37" fillId="2" borderId="15" xfId="0" applyNumberFormat="1" applyFont="1" applyFill="1" applyBorder="1" applyAlignment="1" applyProtection="1">
      <alignment horizontal="center" vertical="center" shrinkToFit="1"/>
    </xf>
    <xf numFmtId="0" fontId="37" fillId="2" borderId="15" xfId="0" applyFont="1" applyFill="1" applyBorder="1" applyAlignment="1" applyProtection="1">
      <alignment horizontal="center" vertical="center" shrinkToFit="1"/>
    </xf>
    <xf numFmtId="1" fontId="37" fillId="8" borderId="5" xfId="0" applyNumberFormat="1" applyFont="1" applyFill="1" applyBorder="1" applyAlignment="1" applyProtection="1">
      <alignment horizontal="right" vertical="center" shrinkToFit="1"/>
    </xf>
    <xf numFmtId="0" fontId="37" fillId="8" borderId="21" xfId="0" applyFont="1" applyFill="1" applyBorder="1" applyAlignment="1" applyProtection="1">
      <alignment horizontal="right" vertical="center" indent="1"/>
    </xf>
    <xf numFmtId="0" fontId="29" fillId="8" borderId="15" xfId="0" applyFont="1" applyFill="1" applyBorder="1" applyAlignment="1" applyProtection="1">
      <alignment horizontal="center" vertical="center" shrinkToFit="1"/>
    </xf>
    <xf numFmtId="0" fontId="37" fillId="8" borderId="15" xfId="0" applyFont="1" applyFill="1" applyBorder="1" applyAlignment="1" applyProtection="1">
      <alignment horizontal="center" vertical="center" shrinkToFit="1"/>
    </xf>
    <xf numFmtId="0" fontId="37" fillId="8" borderId="20" xfId="0" applyFont="1" applyFill="1" applyBorder="1" applyAlignment="1" applyProtection="1">
      <alignment horizontal="right" vertical="center"/>
    </xf>
    <xf numFmtId="0" fontId="37" fillId="8" borderId="5" xfId="0" applyFont="1" applyFill="1" applyBorder="1" applyAlignment="1" applyProtection="1">
      <alignment horizontal="right" vertical="center"/>
    </xf>
    <xf numFmtId="0" fontId="37" fillId="8" borderId="21" xfId="0" applyFont="1" applyFill="1" applyBorder="1" applyAlignment="1" applyProtection="1">
      <alignment horizontal="right" vertical="center"/>
    </xf>
    <xf numFmtId="0" fontId="37" fillId="8" borderId="15" xfId="0" applyFont="1" applyFill="1" applyBorder="1" applyAlignment="1" applyProtection="1">
      <alignment horizontal="right" vertical="center" indent="1"/>
    </xf>
    <xf numFmtId="0" fontId="29" fillId="8" borderId="15" xfId="0" applyFont="1" applyFill="1" applyBorder="1" applyAlignment="1" applyProtection="1">
      <alignment vertical="center" shrinkToFit="1"/>
    </xf>
    <xf numFmtId="0" fontId="37" fillId="8" borderId="15" xfId="0" applyFont="1" applyFill="1" applyBorder="1" applyAlignment="1" applyProtection="1">
      <alignment vertical="center" shrinkToFit="1"/>
    </xf>
    <xf numFmtId="0" fontId="29" fillId="2" borderId="20" xfId="0" applyFont="1" applyFill="1" applyBorder="1" applyAlignment="1" applyProtection="1">
      <alignment horizontal="center" vertical="center"/>
    </xf>
    <xf numFmtId="0" fontId="29" fillId="2" borderId="5" xfId="0" applyFont="1" applyFill="1" applyBorder="1" applyAlignment="1" applyProtection="1">
      <alignment horizontal="right" vertical="center"/>
    </xf>
    <xf numFmtId="0" fontId="29" fillId="2" borderId="5" xfId="0" applyFont="1" applyFill="1" applyBorder="1" applyProtection="1"/>
    <xf numFmtId="0" fontId="51" fillId="2" borderId="5" xfId="0" applyFont="1" applyFill="1" applyBorder="1" applyAlignment="1" applyProtection="1">
      <alignment horizontal="right" vertical="center"/>
    </xf>
    <xf numFmtId="170" fontId="29" fillId="2" borderId="5" xfId="0" applyNumberFormat="1" applyFont="1" applyFill="1" applyBorder="1" applyAlignment="1" applyProtection="1">
      <alignment horizontal="right" vertical="center"/>
    </xf>
    <xf numFmtId="170" fontId="29" fillId="2" borderId="21" xfId="0" applyNumberFormat="1" applyFont="1" applyFill="1" applyBorder="1" applyAlignment="1" applyProtection="1">
      <alignment horizontal="right" vertical="center"/>
    </xf>
    <xf numFmtId="0" fontId="29" fillId="2" borderId="15" xfId="0" applyFont="1" applyFill="1" applyBorder="1" applyAlignment="1" applyProtection="1">
      <alignment horizontal="right" vertical="center" shrinkToFit="1"/>
    </xf>
    <xf numFmtId="0" fontId="37" fillId="2" borderId="15" xfId="0" applyFont="1" applyFill="1" applyBorder="1" applyAlignment="1" applyProtection="1">
      <alignment vertical="center" shrinkToFit="1"/>
    </xf>
    <xf numFmtId="0" fontId="29" fillId="2" borderId="15" xfId="0" applyFont="1" applyFill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right" vertical="center"/>
    </xf>
    <xf numFmtId="1" fontId="37" fillId="9" borderId="15" xfId="0" applyNumberFormat="1" applyFont="1" applyFill="1" applyBorder="1" applyAlignment="1" applyProtection="1">
      <alignment horizontal="center" vertical="center"/>
    </xf>
    <xf numFmtId="172" fontId="29" fillId="2" borderId="5" xfId="0" applyNumberFormat="1" applyFont="1" applyFill="1" applyBorder="1" applyAlignment="1" applyProtection="1">
      <alignment horizontal="right" vertical="center"/>
    </xf>
    <xf numFmtId="172" fontId="29" fillId="2" borderId="21" xfId="0" applyNumberFormat="1" applyFont="1" applyFill="1" applyBorder="1" applyAlignment="1" applyProtection="1">
      <alignment horizontal="right" vertical="center"/>
    </xf>
    <xf numFmtId="0" fontId="29" fillId="2" borderId="5" xfId="0" applyNumberFormat="1" applyFont="1" applyFill="1" applyBorder="1" applyAlignment="1" applyProtection="1">
      <alignment horizontal="right" vertical="center"/>
    </xf>
    <xf numFmtId="173" fontId="29" fillId="2" borderId="21" xfId="0" applyNumberFormat="1" applyFont="1" applyFill="1" applyBorder="1" applyAlignment="1" applyProtection="1">
      <alignment horizontal="right" vertical="center"/>
    </xf>
    <xf numFmtId="174" fontId="37" fillId="2" borderId="15" xfId="0" applyNumberFormat="1" applyFont="1" applyFill="1" applyBorder="1" applyAlignment="1" applyProtection="1">
      <alignment horizontal="center" vertical="center" shrinkToFit="1"/>
    </xf>
    <xf numFmtId="0" fontId="37" fillId="8" borderId="30" xfId="0" applyFont="1" applyFill="1" applyBorder="1" applyAlignment="1" applyProtection="1">
      <alignment horizontal="right" vertical="center"/>
    </xf>
    <xf numFmtId="0" fontId="29" fillId="8" borderId="20" xfId="0" applyFont="1" applyFill="1" applyBorder="1" applyAlignment="1" applyProtection="1">
      <alignment horizontal="right" vertical="center"/>
    </xf>
    <xf numFmtId="0" fontId="37" fillId="2" borderId="20" xfId="0" applyFont="1" applyFill="1" applyBorder="1" applyAlignment="1" applyProtection="1">
      <alignment horizontal="right" vertical="center"/>
    </xf>
    <xf numFmtId="0" fontId="37" fillId="2" borderId="5" xfId="0" applyFont="1" applyFill="1" applyBorder="1" applyAlignment="1" applyProtection="1">
      <alignment horizontal="right" vertical="center"/>
    </xf>
    <xf numFmtId="0" fontId="37" fillId="2" borderId="21" xfId="0" applyFont="1" applyFill="1" applyBorder="1" applyAlignment="1" applyProtection="1">
      <alignment horizontal="right" vertical="center" indent="1"/>
    </xf>
    <xf numFmtId="0" fontId="51" fillId="0" borderId="15" xfId="0" applyFont="1" applyBorder="1" applyAlignment="1">
      <alignment horizontal="center" vertical="center" shrinkToFit="1"/>
    </xf>
    <xf numFmtId="1" fontId="51" fillId="0" borderId="15" xfId="0" applyNumberFormat="1" applyFont="1" applyBorder="1" applyAlignment="1">
      <alignment horizontal="center" vertical="center" shrinkToFit="1"/>
    </xf>
    <xf numFmtId="0" fontId="51" fillId="0" borderId="15" xfId="0" applyFont="1" applyBorder="1" applyAlignment="1">
      <alignment horizontal="center" vertical="center" wrapText="1" shrinkToFit="1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vertical="top" wrapText="1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8" fillId="2" borderId="15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56" fillId="2" borderId="15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/>
    </xf>
    <xf numFmtId="0" fontId="63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center" vertical="center" shrinkToFit="1"/>
    </xf>
    <xf numFmtId="0" fontId="37" fillId="2" borderId="15" xfId="0" applyFont="1" applyFill="1" applyBorder="1" applyAlignment="1">
      <alignment horizontal="center" vertical="center" shrinkToFit="1"/>
    </xf>
    <xf numFmtId="0" fontId="38" fillId="2" borderId="15" xfId="0" applyFont="1" applyFill="1" applyBorder="1" applyAlignment="1">
      <alignment horizontal="center" vertical="center" shrinkToFit="1"/>
    </xf>
    <xf numFmtId="0" fontId="56" fillId="2" borderId="15" xfId="0" applyFont="1" applyFill="1" applyBorder="1" applyAlignment="1">
      <alignment horizontal="left" vertical="center" shrinkToFit="1"/>
    </xf>
    <xf numFmtId="0" fontId="37" fillId="2" borderId="15" xfId="0" applyFont="1" applyFill="1" applyBorder="1" applyAlignment="1">
      <alignment horizontal="center" vertical="center"/>
    </xf>
    <xf numFmtId="0" fontId="56" fillId="2" borderId="15" xfId="0" applyFont="1" applyFill="1" applyBorder="1" applyAlignment="1">
      <alignment vertical="center"/>
    </xf>
    <xf numFmtId="0" fontId="29" fillId="2" borderId="15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/>
    <xf numFmtId="0" fontId="51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/>
    <xf numFmtId="0" fontId="64" fillId="0" borderId="0" xfId="0" applyFont="1" applyFill="1"/>
    <xf numFmtId="0" fontId="42" fillId="0" borderId="0" xfId="0" applyFont="1" applyFill="1"/>
    <xf numFmtId="0" fontId="0" fillId="2" borderId="0" xfId="0" applyFont="1" applyFill="1"/>
    <xf numFmtId="0" fontId="65" fillId="2" borderId="1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66" fillId="3" borderId="15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66" fillId="0" borderId="15" xfId="0" applyFont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67" fillId="2" borderId="15" xfId="0" applyFont="1" applyFill="1" applyBorder="1" applyAlignment="1">
      <alignment horizontal="left" vertical="center" shrinkToFit="1"/>
    </xf>
    <xf numFmtId="0" fontId="38" fillId="0" borderId="15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 vertical="center" wrapText="1"/>
    </xf>
    <xf numFmtId="0" fontId="68" fillId="2" borderId="15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center" vertical="center" shrinkToFit="1"/>
    </xf>
    <xf numFmtId="0" fontId="37" fillId="8" borderId="0" xfId="0" applyFont="1" applyFill="1" applyBorder="1" applyAlignment="1" applyProtection="1">
      <alignment horizontal="center" vertical="center" shrinkToFit="1"/>
    </xf>
    <xf numFmtId="0" fontId="29" fillId="8" borderId="0" xfId="0" applyFont="1" applyFill="1" applyBorder="1" applyAlignment="1" applyProtection="1">
      <alignment vertical="center" shrinkToFit="1"/>
    </xf>
    <xf numFmtId="0" fontId="37" fillId="8" borderId="0" xfId="0" applyFont="1" applyFill="1" applyBorder="1" applyAlignment="1" applyProtection="1">
      <alignment vertical="center" shrinkToFit="1"/>
    </xf>
    <xf numFmtId="0" fontId="37" fillId="2" borderId="0" xfId="0" applyFont="1" applyFill="1" applyBorder="1" applyAlignment="1" applyProtection="1">
      <alignment vertical="center" shrinkToFit="1"/>
    </xf>
    <xf numFmtId="0" fontId="37" fillId="2" borderId="0" xfId="0" applyFont="1" applyFill="1" applyBorder="1" applyAlignment="1" applyProtection="1">
      <alignment horizontal="center" vertical="center" shrinkToFit="1"/>
    </xf>
    <xf numFmtId="0" fontId="57" fillId="2" borderId="15" xfId="0" applyFont="1" applyFill="1" applyBorder="1" applyAlignment="1" applyProtection="1">
      <alignment horizontal="center" vertical="center" shrinkToFit="1"/>
    </xf>
    <xf numFmtId="0" fontId="69" fillId="8" borderId="15" xfId="0" applyFont="1" applyFill="1" applyBorder="1" applyAlignment="1" applyProtection="1">
      <alignment horizontal="center" vertical="center" shrinkToFit="1"/>
    </xf>
    <xf numFmtId="0" fontId="9" fillId="8" borderId="15" xfId="0" applyFont="1" applyFill="1" applyBorder="1" applyAlignment="1" applyProtection="1">
      <alignment horizontal="center" vertical="center" shrinkToFit="1"/>
    </xf>
    <xf numFmtId="0" fontId="24" fillId="8" borderId="15" xfId="0" applyFont="1" applyFill="1" applyBorder="1" applyAlignment="1" applyProtection="1">
      <alignment horizontal="center" vertical="center" shrinkToFit="1"/>
    </xf>
    <xf numFmtId="0" fontId="24" fillId="2" borderId="15" xfId="0" applyFont="1" applyFill="1" applyBorder="1" applyAlignment="1" applyProtection="1">
      <alignment horizontal="center" vertical="center" shrinkToFit="1"/>
    </xf>
    <xf numFmtId="0" fontId="71" fillId="2" borderId="38" xfId="0" applyFont="1" applyFill="1" applyBorder="1" applyAlignment="1">
      <alignment horizontal="center" vertical="center" wrapText="1"/>
    </xf>
    <xf numFmtId="0" fontId="72" fillId="2" borderId="15" xfId="0" applyFont="1" applyFill="1" applyBorder="1" applyAlignment="1">
      <alignment horizontal="center" vertical="center" wrapText="1"/>
    </xf>
    <xf numFmtId="0" fontId="71" fillId="2" borderId="15" xfId="0" applyFont="1" applyFill="1" applyBorder="1" applyAlignment="1">
      <alignment horizontal="center" vertical="center" wrapText="1"/>
    </xf>
    <xf numFmtId="0" fontId="72" fillId="2" borderId="39" xfId="0" applyFont="1" applyFill="1" applyBorder="1" applyAlignment="1">
      <alignment horizontal="center" vertical="center" wrapText="1"/>
    </xf>
    <xf numFmtId="0" fontId="73" fillId="2" borderId="41" xfId="0" applyFont="1" applyFill="1" applyBorder="1" applyAlignment="1">
      <alignment horizontal="center" vertical="center" wrapText="1"/>
    </xf>
    <xf numFmtId="0" fontId="73" fillId="2" borderId="42" xfId="0" applyFont="1" applyFill="1" applyBorder="1" applyAlignment="1">
      <alignment horizontal="center" vertical="center" wrapText="1"/>
    </xf>
    <xf numFmtId="0" fontId="73" fillId="2" borderId="43" xfId="0" applyFont="1" applyFill="1" applyBorder="1" applyAlignment="1">
      <alignment horizontal="center" vertical="center" wrapText="1"/>
    </xf>
    <xf numFmtId="166" fontId="76" fillId="2" borderId="0" xfId="0" applyNumberFormat="1" applyFont="1" applyFill="1" applyAlignment="1">
      <alignment horizontal="center" shrinkToFit="1"/>
    </xf>
    <xf numFmtId="0" fontId="20" fillId="2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30" fillId="2" borderId="15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/>
    </xf>
    <xf numFmtId="0" fontId="79" fillId="2" borderId="15" xfId="0" applyFont="1" applyFill="1" applyBorder="1" applyAlignment="1">
      <alignment horizontal="center" vertical="center"/>
    </xf>
    <xf numFmtId="0" fontId="80" fillId="2" borderId="15" xfId="0" applyNumberFormat="1" applyFont="1" applyFill="1" applyBorder="1" applyAlignment="1">
      <alignment horizontal="center" vertical="center"/>
    </xf>
    <xf numFmtId="0" fontId="81" fillId="2" borderId="15" xfId="0" applyFont="1" applyFill="1" applyBorder="1" applyAlignment="1">
      <alignment horizontal="center" vertical="center"/>
    </xf>
    <xf numFmtId="0" fontId="30" fillId="2" borderId="0" xfId="0" applyFont="1" applyFill="1"/>
    <xf numFmtId="0" fontId="21" fillId="2" borderId="31" xfId="0" applyFont="1" applyFill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5" borderId="0" xfId="0" applyFill="1" applyAlignment="1">
      <alignment horizontal="left" vertical="center"/>
    </xf>
    <xf numFmtId="0" fontId="37" fillId="8" borderId="20" xfId="0" applyFont="1" applyFill="1" applyBorder="1" applyAlignment="1" applyProtection="1">
      <alignment horizontal="right" vertical="center"/>
    </xf>
    <xf numFmtId="0" fontId="37" fillId="8" borderId="5" xfId="0" applyFont="1" applyFill="1" applyBorder="1" applyAlignment="1" applyProtection="1">
      <alignment horizontal="right" vertical="center"/>
    </xf>
    <xf numFmtId="0" fontId="37" fillId="0" borderId="15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Alignment="1">
      <alignment horizontal="center"/>
    </xf>
    <xf numFmtId="0" fontId="37" fillId="0" borderId="15" xfId="0" applyFont="1" applyFill="1" applyBorder="1" applyAlignment="1" applyProtection="1">
      <alignment horizontal="right" vertical="center"/>
    </xf>
    <xf numFmtId="0" fontId="37" fillId="0" borderId="15" xfId="0" applyFont="1" applyFill="1" applyBorder="1" applyAlignment="1" applyProtection="1">
      <alignment horizontal="right" vertical="center" indent="1"/>
    </xf>
    <xf numFmtId="0" fontId="29" fillId="0" borderId="15" xfId="0" applyFont="1" applyFill="1" applyBorder="1" applyAlignment="1" applyProtection="1">
      <alignment horizontal="center" vertical="center"/>
    </xf>
    <xf numFmtId="0" fontId="56" fillId="2" borderId="15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 applyProtection="1">
      <alignment horizontal="right" vertical="center"/>
    </xf>
    <xf numFmtId="0" fontId="29" fillId="0" borderId="15" xfId="0" applyFont="1" applyFill="1" applyBorder="1" applyAlignment="1" applyProtection="1">
      <alignment horizontal="right" vertical="center" indent="1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5" fillId="2" borderId="42" xfId="0" applyFont="1" applyFill="1" applyBorder="1" applyAlignment="1" applyProtection="1">
      <alignment horizontal="center" vertical="center" shrinkToFit="1"/>
      <protection locked="0"/>
    </xf>
    <xf numFmtId="0" fontId="29" fillId="2" borderId="35" xfId="0" applyFont="1" applyFill="1" applyBorder="1" applyAlignment="1">
      <alignment horizontal="center" vertical="center" shrinkToFit="1"/>
    </xf>
    <xf numFmtId="14" fontId="29" fillId="2" borderId="15" xfId="0" applyNumberFormat="1" applyFont="1" applyFill="1" applyBorder="1" applyAlignment="1">
      <alignment horizontal="center" vertical="center" shrinkToFit="1"/>
    </xf>
    <xf numFmtId="0" fontId="57" fillId="2" borderId="38" xfId="0" applyFont="1" applyFill="1" applyBorder="1" applyAlignment="1">
      <alignment horizontal="center" vertical="center" shrinkToFit="1"/>
    </xf>
    <xf numFmtId="0" fontId="38" fillId="2" borderId="15" xfId="0" applyFont="1" applyFill="1" applyBorder="1" applyAlignment="1">
      <alignment horizontal="left" vertical="center" shrinkToFit="1"/>
    </xf>
    <xf numFmtId="0" fontId="29" fillId="2" borderId="15" xfId="0" applyFont="1" applyFill="1" applyBorder="1" applyAlignment="1" applyProtection="1">
      <alignment horizontal="center" vertical="center" shrinkToFit="1"/>
      <protection locked="0"/>
    </xf>
    <xf numFmtId="0" fontId="29" fillId="2" borderId="39" xfId="0" applyFont="1" applyFill="1" applyBorder="1" applyAlignment="1">
      <alignment horizontal="center" vertical="center" shrinkToFit="1"/>
    </xf>
    <xf numFmtId="0" fontId="19" fillId="2" borderId="4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176" fontId="65" fillId="2" borderId="15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shrinkToFit="1"/>
    </xf>
    <xf numFmtId="0" fontId="65" fillId="2" borderId="15" xfId="0" applyFont="1" applyFill="1" applyBorder="1" applyAlignment="1">
      <alignment horizontal="center" vertical="center"/>
    </xf>
    <xf numFmtId="0" fontId="79" fillId="2" borderId="26" xfId="0" applyFont="1" applyFill="1" applyBorder="1" applyAlignment="1">
      <alignment horizontal="center" vertical="center" textRotation="90" wrapText="1"/>
    </xf>
    <xf numFmtId="0" fontId="79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88" fillId="0" borderId="0" xfId="0" applyFont="1"/>
    <xf numFmtId="0" fontId="90" fillId="2" borderId="15" xfId="0" applyFont="1" applyFill="1" applyBorder="1" applyAlignment="1">
      <alignment vertical="center" shrinkToFit="1"/>
    </xf>
    <xf numFmtId="0" fontId="91" fillId="2" borderId="15" xfId="0" applyFont="1" applyFill="1" applyBorder="1" applyAlignment="1">
      <alignment vertical="center" shrinkToFit="1"/>
    </xf>
    <xf numFmtId="0" fontId="91" fillId="2" borderId="15" xfId="0" quotePrefix="1" applyFont="1" applyFill="1" applyBorder="1" applyAlignment="1">
      <alignment vertical="center" shrinkToFit="1"/>
    </xf>
    <xf numFmtId="0" fontId="91" fillId="2" borderId="15" xfId="0" applyFont="1" applyFill="1" applyBorder="1" applyAlignment="1">
      <alignment horizontal="center" vertical="center"/>
    </xf>
    <xf numFmtId="0" fontId="92" fillId="0" borderId="0" xfId="0" applyFont="1"/>
    <xf numFmtId="0" fontId="94" fillId="0" borderId="0" xfId="0" applyFont="1"/>
    <xf numFmtId="0" fontId="93" fillId="0" borderId="0" xfId="0" applyFont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top" wrapText="1"/>
    </xf>
    <xf numFmtId="0" fontId="56" fillId="2" borderId="15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center"/>
    </xf>
    <xf numFmtId="0" fontId="30" fillId="2" borderId="15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vertical="center"/>
    </xf>
    <xf numFmtId="0" fontId="51" fillId="0" borderId="0" xfId="0" applyFont="1"/>
    <xf numFmtId="0" fontId="20" fillId="2" borderId="15" xfId="0" applyFont="1" applyFill="1" applyBorder="1" applyAlignment="1">
      <alignment horizontal="center"/>
    </xf>
    <xf numFmtId="0" fontId="29" fillId="2" borderId="15" xfId="0" applyFont="1" applyFill="1" applyBorder="1" applyAlignment="1">
      <alignment vertical="center" shrinkToFit="1"/>
    </xf>
    <xf numFmtId="176" fontId="20" fillId="2" borderId="15" xfId="0" applyNumberFormat="1" applyFont="1" applyFill="1" applyBorder="1" applyAlignment="1">
      <alignment horizontal="center"/>
    </xf>
    <xf numFmtId="0" fontId="65" fillId="2" borderId="15" xfId="0" applyFont="1" applyFill="1" applyBorder="1" applyAlignment="1">
      <alignment horizontal="center"/>
    </xf>
    <xf numFmtId="0" fontId="20" fillId="2" borderId="15" xfId="0" quotePrefix="1" applyFont="1" applyFill="1" applyBorder="1" applyAlignment="1">
      <alignment horizontal="center"/>
    </xf>
    <xf numFmtId="0" fontId="29" fillId="2" borderId="15" xfId="0" quotePrefix="1" applyFont="1" applyFill="1" applyBorder="1" applyAlignment="1">
      <alignment vertical="center" shrinkToFit="1"/>
    </xf>
    <xf numFmtId="0" fontId="31" fillId="2" borderId="15" xfId="0" applyFont="1" applyFill="1" applyBorder="1" applyAlignment="1">
      <alignment vertical="center" textRotation="90" wrapText="1"/>
    </xf>
    <xf numFmtId="0" fontId="31" fillId="2" borderId="15" xfId="0" applyFont="1" applyFill="1" applyBorder="1" applyAlignment="1">
      <alignment horizontal="center" vertical="center" textRotation="90" wrapText="1"/>
    </xf>
    <xf numFmtId="0" fontId="31" fillId="2" borderId="15" xfId="0" applyFont="1" applyFill="1" applyBorder="1"/>
    <xf numFmtId="0" fontId="19" fillId="2" borderId="15" xfId="0" applyFont="1" applyFill="1" applyBorder="1"/>
    <xf numFmtId="0" fontId="19" fillId="2" borderId="15" xfId="0" applyFont="1" applyFill="1" applyBorder="1" applyAlignment="1">
      <alignment horizontal="center"/>
    </xf>
    <xf numFmtId="0" fontId="31" fillId="2" borderId="15" xfId="0" quotePrefix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/>
    </xf>
    <xf numFmtId="0" fontId="38" fillId="2" borderId="20" xfId="0" applyFont="1" applyFill="1" applyBorder="1" applyAlignment="1">
      <alignment horizontal="center"/>
    </xf>
    <xf numFmtId="176" fontId="65" fillId="6" borderId="15" xfId="0" applyNumberFormat="1" applyFont="1" applyFill="1" applyBorder="1" applyAlignment="1">
      <alignment horizontal="center" vertical="center"/>
    </xf>
    <xf numFmtId="0" fontId="20" fillId="2" borderId="15" xfId="0" applyFont="1" applyFill="1" applyBorder="1"/>
    <xf numFmtId="0" fontId="51" fillId="2" borderId="15" xfId="0" applyFont="1" applyFill="1" applyBorder="1"/>
    <xf numFmtId="0" fontId="19" fillId="2" borderId="15" xfId="0" applyFont="1" applyFill="1" applyBorder="1" applyAlignment="1">
      <alignment vertical="center" shrinkToFit="1"/>
    </xf>
    <xf numFmtId="0" fontId="65" fillId="2" borderId="15" xfId="0" applyFont="1" applyFill="1" applyBorder="1" applyAlignment="1">
      <alignment horizontal="right" vertical="center"/>
    </xf>
    <xf numFmtId="0" fontId="19" fillId="2" borderId="15" xfId="0" applyFont="1" applyFill="1" applyBorder="1" applyAlignment="1">
      <alignment horizontal="center" vertical="center"/>
    </xf>
    <xf numFmtId="0" fontId="100" fillId="6" borderId="38" xfId="0" applyFont="1" applyFill="1" applyBorder="1" applyAlignment="1">
      <alignment horizontal="center" vertical="center" wrapText="1"/>
    </xf>
    <xf numFmtId="0" fontId="100" fillId="6" borderId="15" xfId="0" applyFont="1" applyFill="1" applyBorder="1" applyAlignment="1">
      <alignment horizontal="center" vertical="center" wrapText="1"/>
    </xf>
    <xf numFmtId="0" fontId="100" fillId="6" borderId="39" xfId="0" applyFont="1" applyFill="1" applyBorder="1" applyAlignment="1">
      <alignment horizontal="center" vertical="center" wrapText="1"/>
    </xf>
    <xf numFmtId="0" fontId="101" fillId="6" borderId="15" xfId="0" applyFont="1" applyFill="1" applyBorder="1" applyAlignment="1">
      <alignment horizontal="center" vertical="center" wrapText="1"/>
    </xf>
    <xf numFmtId="0" fontId="101" fillId="6" borderId="20" xfId="0" applyFont="1" applyFill="1" applyBorder="1" applyAlignment="1">
      <alignment horizontal="center" vertical="center" wrapText="1"/>
    </xf>
    <xf numFmtId="0" fontId="101" fillId="6" borderId="20" xfId="0" applyFont="1" applyFill="1" applyBorder="1" applyAlignment="1">
      <alignment horizontal="center" vertical="center" shrinkToFit="1"/>
    </xf>
    <xf numFmtId="0" fontId="101" fillId="6" borderId="5" xfId="0" applyFont="1" applyFill="1" applyBorder="1" applyAlignment="1">
      <alignment horizontal="center" vertical="center" shrinkToFit="1"/>
    </xf>
    <xf numFmtId="0" fontId="101" fillId="6" borderId="21" xfId="0" applyFont="1" applyFill="1" applyBorder="1" applyAlignment="1">
      <alignment horizontal="center" vertical="center" shrinkToFit="1"/>
    </xf>
    <xf numFmtId="0" fontId="101" fillId="6" borderId="15" xfId="0" applyFont="1" applyFill="1" applyBorder="1" applyAlignment="1">
      <alignment horizontal="left" vertical="center" wrapText="1"/>
    </xf>
    <xf numFmtId="0" fontId="101" fillId="6" borderId="39" xfId="0" applyFont="1" applyFill="1" applyBorder="1" applyAlignment="1">
      <alignment horizontal="left" vertical="center" wrapText="1"/>
    </xf>
    <xf numFmtId="0" fontId="101" fillId="6" borderId="29" xfId="0" applyFont="1" applyFill="1" applyBorder="1" applyAlignment="1">
      <alignment horizontal="center" vertical="center" wrapText="1"/>
    </xf>
    <xf numFmtId="0" fontId="101" fillId="6" borderId="29" xfId="0" applyFont="1" applyFill="1" applyBorder="1" applyAlignment="1">
      <alignment horizontal="left" vertical="center" wrapText="1"/>
    </xf>
    <xf numFmtId="0" fontId="101" fillId="6" borderId="53" xfId="0" applyFont="1" applyFill="1" applyBorder="1" applyAlignment="1">
      <alignment horizontal="left" vertical="center" wrapText="1"/>
    </xf>
    <xf numFmtId="0" fontId="101" fillId="6" borderId="57" xfId="0" applyFont="1" applyFill="1" applyBorder="1" applyAlignment="1">
      <alignment horizontal="center" vertical="center" shrinkToFit="1"/>
    </xf>
    <xf numFmtId="0" fontId="101" fillId="6" borderId="55" xfId="0" applyFont="1" applyFill="1" applyBorder="1" applyAlignment="1">
      <alignment horizontal="center" vertical="center" shrinkToFit="1"/>
    </xf>
    <xf numFmtId="0" fontId="102" fillId="6" borderId="55" xfId="0" applyFont="1" applyFill="1" applyBorder="1" applyAlignment="1">
      <alignment horizontal="center" vertical="center" shrinkToFit="1"/>
    </xf>
    <xf numFmtId="0" fontId="102" fillId="6" borderId="56" xfId="0" applyFont="1" applyFill="1" applyBorder="1" applyAlignment="1">
      <alignment horizontal="center" vertical="center" shrinkToFit="1"/>
    </xf>
    <xf numFmtId="0" fontId="102" fillId="6" borderId="57" xfId="0" applyFont="1" applyFill="1" applyBorder="1" applyAlignment="1">
      <alignment horizontal="center" vertical="center" shrinkToFit="1"/>
    </xf>
    <xf numFmtId="0" fontId="99" fillId="6" borderId="58" xfId="0" applyFont="1" applyFill="1" applyBorder="1" applyAlignment="1">
      <alignment horizontal="left" vertical="center" wrapText="1"/>
    </xf>
    <xf numFmtId="0" fontId="99" fillId="6" borderId="59" xfId="0" applyFont="1" applyFill="1" applyBorder="1" applyAlignment="1">
      <alignment horizontal="left" vertical="center" wrapText="1"/>
    </xf>
    <xf numFmtId="0" fontId="101" fillId="6" borderId="57" xfId="0" applyFont="1" applyFill="1" applyBorder="1" applyAlignment="1">
      <alignment horizontal="center" vertical="center" wrapText="1"/>
    </xf>
    <xf numFmtId="0" fontId="101" fillId="6" borderId="55" xfId="0" applyFont="1" applyFill="1" applyBorder="1" applyAlignment="1">
      <alignment horizontal="center" vertical="center" wrapText="1"/>
    </xf>
    <xf numFmtId="0" fontId="102" fillId="6" borderId="55" xfId="0" applyFont="1" applyFill="1" applyBorder="1" applyAlignment="1">
      <alignment horizontal="center" vertical="center" wrapText="1"/>
    </xf>
    <xf numFmtId="0" fontId="102" fillId="6" borderId="56" xfId="0" applyFont="1" applyFill="1" applyBorder="1" applyAlignment="1">
      <alignment horizontal="center" vertical="center" wrapText="1"/>
    </xf>
    <xf numFmtId="0" fontId="102" fillId="6" borderId="57" xfId="0" applyFont="1" applyFill="1" applyBorder="1" applyAlignment="1">
      <alignment horizontal="center" vertical="center" wrapText="1"/>
    </xf>
    <xf numFmtId="0" fontId="101" fillId="6" borderId="21" xfId="0" applyFont="1" applyFill="1" applyBorder="1" applyAlignment="1">
      <alignment horizontal="right" vertical="center" shrinkToFit="1"/>
    </xf>
    <xf numFmtId="0" fontId="38" fillId="6" borderId="15" xfId="0" applyFont="1" applyFill="1" applyBorder="1" applyAlignment="1">
      <alignment horizontal="center" vertical="center" wrapText="1"/>
    </xf>
    <xf numFmtId="0" fontId="38" fillId="6" borderId="39" xfId="0" applyFont="1" applyFill="1" applyBorder="1" applyAlignment="1">
      <alignment horizontal="center" vertical="center" wrapText="1"/>
    </xf>
    <xf numFmtId="0" fontId="38" fillId="6" borderId="29" xfId="0" applyFont="1" applyFill="1" applyBorder="1" applyAlignment="1">
      <alignment horizontal="center" vertical="center" wrapText="1"/>
    </xf>
    <xf numFmtId="0" fontId="103" fillId="0" borderId="0" xfId="0" applyFont="1"/>
    <xf numFmtId="0" fontId="104" fillId="0" borderId="0" xfId="0" applyFont="1"/>
    <xf numFmtId="0" fontId="105" fillId="6" borderId="48" xfId="0" applyFont="1" applyFill="1" applyBorder="1" applyAlignment="1">
      <alignment horizontal="center" vertical="center" wrapText="1"/>
    </xf>
    <xf numFmtId="0" fontId="105" fillId="6" borderId="26" xfId="0" applyFont="1" applyFill="1" applyBorder="1" applyAlignment="1">
      <alignment horizontal="center" vertical="center" wrapText="1"/>
    </xf>
    <xf numFmtId="0" fontId="51" fillId="6" borderId="21" xfId="0" applyFont="1" applyFill="1" applyBorder="1" applyAlignment="1">
      <alignment horizontal="center" vertical="center"/>
    </xf>
    <xf numFmtId="0" fontId="30" fillId="6" borderId="15" xfId="0" applyFont="1" applyFill="1" applyBorder="1" applyAlignment="1">
      <alignment vertical="center" shrinkToFit="1"/>
    </xf>
    <xf numFmtId="0" fontId="72" fillId="6" borderId="15" xfId="0" applyFont="1" applyFill="1" applyBorder="1" applyAlignment="1">
      <alignment vertical="center" shrinkToFit="1"/>
    </xf>
    <xf numFmtId="1" fontId="29" fillId="6" borderId="15" xfId="0" applyNumberFormat="1" applyFont="1" applyFill="1" applyBorder="1" applyAlignment="1">
      <alignment horizontal="center" vertical="center" shrinkToFit="1"/>
    </xf>
    <xf numFmtId="9" fontId="29" fillId="6" borderId="15" xfId="0" applyNumberFormat="1" applyFont="1" applyFill="1" applyBorder="1" applyAlignment="1">
      <alignment horizontal="center" vertical="center" shrinkToFit="1"/>
    </xf>
    <xf numFmtId="0" fontId="29" fillId="6" borderId="15" xfId="0" applyNumberFormat="1" applyFont="1" applyFill="1" applyBorder="1" applyAlignment="1">
      <alignment horizontal="center" vertical="center" shrinkToFit="1"/>
    </xf>
    <xf numFmtId="0" fontId="29" fillId="6" borderId="20" xfId="0" applyFont="1" applyFill="1" applyBorder="1" applyAlignment="1">
      <alignment horizontal="center" vertical="center" shrinkToFit="1"/>
    </xf>
    <xf numFmtId="0" fontId="106" fillId="6" borderId="15" xfId="0" applyFont="1" applyFill="1" applyBorder="1" applyAlignment="1">
      <alignment horizontal="center" vertical="center"/>
    </xf>
    <xf numFmtId="0" fontId="79" fillId="6" borderId="15" xfId="0" applyFont="1" applyFill="1" applyBorder="1" applyAlignment="1">
      <alignment horizontal="centerContinuous" vertical="center" shrinkToFit="1"/>
    </xf>
    <xf numFmtId="0" fontId="22" fillId="6" borderId="15" xfId="0" applyFont="1" applyFill="1" applyBorder="1" applyAlignment="1">
      <alignment horizontal="center" vertical="center" shrinkToFit="1"/>
    </xf>
    <xf numFmtId="0" fontId="30" fillId="2" borderId="0" xfId="0" applyFont="1" applyFill="1" applyAlignment="1"/>
    <xf numFmtId="0" fontId="30" fillId="2" borderId="0" xfId="0" applyFont="1" applyFill="1" applyAlignment="1">
      <alignment vertical="center"/>
    </xf>
    <xf numFmtId="177" fontId="20" fillId="0" borderId="15" xfId="0" applyNumberFormat="1" applyFont="1" applyFill="1" applyBorder="1" applyAlignment="1">
      <alignment horizontal="right" vertical="center" wrapText="1"/>
    </xf>
    <xf numFmtId="0" fontId="65" fillId="0" borderId="15" xfId="0" applyNumberFormat="1" applyFont="1" applyFill="1" applyBorder="1" applyAlignment="1">
      <alignment horizontal="center" vertical="center" wrapText="1"/>
    </xf>
    <xf numFmtId="0" fontId="40" fillId="2" borderId="15" xfId="0" applyNumberFormat="1" applyFont="1" applyFill="1" applyBorder="1" applyAlignment="1">
      <alignment horizontal="center" vertical="center" wrapText="1"/>
    </xf>
    <xf numFmtId="178" fontId="40" fillId="2" borderId="15" xfId="0" applyNumberFormat="1" applyFont="1" applyFill="1" applyBorder="1" applyAlignment="1">
      <alignment horizontal="center" vertical="center" wrapText="1"/>
    </xf>
    <xf numFmtId="178" fontId="19" fillId="2" borderId="15" xfId="0" quotePrefix="1" applyNumberFormat="1" applyFont="1" applyFill="1" applyBorder="1" applyAlignment="1">
      <alignment horizontal="center" vertical="center" wrapText="1"/>
    </xf>
    <xf numFmtId="0" fontId="19" fillId="2" borderId="15" xfId="0" quotePrefix="1" applyNumberFormat="1" applyFont="1" applyFill="1" applyBorder="1" applyAlignment="1">
      <alignment horizontal="center" vertical="center" wrapText="1"/>
    </xf>
    <xf numFmtId="0" fontId="19" fillId="2" borderId="15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5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38" fillId="2" borderId="15" xfId="0" applyFont="1" applyFill="1" applyBorder="1" applyAlignment="1">
      <alignment horizontal="center" vertical="center" textRotation="90" wrapText="1"/>
    </xf>
    <xf numFmtId="0" fontId="65" fillId="2" borderId="15" xfId="0" applyFont="1" applyFill="1" applyBorder="1" applyAlignment="1">
      <alignment horizontal="center" vertical="center" shrinkToFit="1"/>
    </xf>
    <xf numFmtId="0" fontId="66" fillId="2" borderId="0" xfId="0" applyFont="1" applyFill="1"/>
    <xf numFmtId="0" fontId="66" fillId="0" borderId="0" xfId="0" applyFont="1"/>
    <xf numFmtId="0" fontId="109" fillId="6" borderId="0" xfId="0" applyFont="1" applyFill="1" applyBorder="1" applyAlignment="1">
      <alignment horizontal="center" vertical="center" shrinkToFit="1"/>
    </xf>
    <xf numFmtId="0" fontId="109" fillId="6" borderId="0" xfId="0" applyFont="1" applyFill="1" applyBorder="1" applyAlignment="1">
      <alignment horizontal="center" vertical="center" wrapText="1"/>
    </xf>
    <xf numFmtId="0" fontId="109" fillId="6" borderId="0" xfId="0" applyFont="1" applyFill="1" applyBorder="1" applyAlignment="1">
      <alignment horizontal="center" vertical="center"/>
    </xf>
    <xf numFmtId="0" fontId="109" fillId="10" borderId="15" xfId="0" applyFont="1" applyFill="1" applyBorder="1" applyAlignment="1">
      <alignment horizontal="center" vertical="center" shrinkToFit="1"/>
    </xf>
    <xf numFmtId="0" fontId="109" fillId="7" borderId="15" xfId="0" applyFont="1" applyFill="1" applyBorder="1" applyAlignment="1">
      <alignment horizontal="center" vertical="center" shrinkToFit="1"/>
    </xf>
    <xf numFmtId="0" fontId="29" fillId="2" borderId="15" xfId="0" applyFont="1" applyFill="1" applyBorder="1" applyAlignment="1">
      <alignment horizontal="center" vertical="center" wrapText="1" shrinkToFit="1"/>
    </xf>
    <xf numFmtId="0" fontId="66" fillId="2" borderId="15" xfId="0" applyFont="1" applyFill="1" applyBorder="1" applyAlignment="1">
      <alignment horizontal="center" vertical="center"/>
    </xf>
    <xf numFmtId="0" fontId="110" fillId="2" borderId="15" xfId="0" quotePrefix="1" applyFont="1" applyFill="1" applyBorder="1" applyAlignment="1">
      <alignment horizontal="left" vertical="center" shrinkToFit="1"/>
    </xf>
    <xf numFmtId="0" fontId="111" fillId="2" borderId="15" xfId="0" applyFont="1" applyFill="1" applyBorder="1" applyAlignment="1">
      <alignment horizontal="left" vertical="center" shrinkToFit="1"/>
    </xf>
    <xf numFmtId="179" fontId="17" fillId="2" borderId="15" xfId="0" quotePrefix="1" applyNumberFormat="1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 shrinkToFit="1"/>
    </xf>
    <xf numFmtId="0" fontId="32" fillId="2" borderId="15" xfId="0" applyFont="1" applyFill="1" applyBorder="1" applyAlignment="1">
      <alignment horizontal="center" vertical="center" shrinkToFit="1"/>
    </xf>
    <xf numFmtId="0" fontId="112" fillId="2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left" vertical="center"/>
    </xf>
    <xf numFmtId="0" fontId="32" fillId="2" borderId="15" xfId="0" applyFont="1" applyFill="1" applyBorder="1" applyAlignment="1">
      <alignment horizontal="left" vertical="center" shrinkToFit="1"/>
    </xf>
    <xf numFmtId="14" fontId="17" fillId="2" borderId="15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 shrinkToFit="1"/>
    </xf>
    <xf numFmtId="0" fontId="113" fillId="0" borderId="0" xfId="0" applyFont="1"/>
    <xf numFmtId="0" fontId="114" fillId="0" borderId="0" xfId="0" applyFont="1"/>
    <xf numFmtId="0" fontId="115" fillId="6" borderId="0" xfId="0" applyFont="1" applyFill="1" applyBorder="1" applyAlignment="1">
      <alignment horizontal="center" vertical="center" shrinkToFit="1"/>
    </xf>
    <xf numFmtId="0" fontId="115" fillId="6" borderId="0" xfId="0" applyFont="1" applyFill="1" applyBorder="1" applyAlignment="1">
      <alignment horizontal="center" vertical="center" wrapText="1"/>
    </xf>
    <xf numFmtId="0" fontId="115" fillId="6" borderId="0" xfId="0" applyFont="1" applyFill="1" applyBorder="1" applyAlignment="1">
      <alignment horizontal="center" vertical="center"/>
    </xf>
    <xf numFmtId="0" fontId="115" fillId="10" borderId="15" xfId="0" applyFont="1" applyFill="1" applyBorder="1" applyAlignment="1">
      <alignment horizontal="center" vertical="center" shrinkToFit="1"/>
    </xf>
    <xf numFmtId="0" fontId="115" fillId="7" borderId="15" xfId="0" applyFont="1" applyFill="1" applyBorder="1" applyAlignment="1">
      <alignment horizontal="center" vertical="center" shrinkToFit="1"/>
    </xf>
    <xf numFmtId="0" fontId="116" fillId="0" borderId="0" xfId="0" applyFont="1"/>
    <xf numFmtId="0" fontId="30" fillId="2" borderId="15" xfId="0" applyFont="1" applyFill="1" applyBorder="1" applyAlignment="1">
      <alignment horizontal="left" vertical="center" shrinkToFit="1"/>
    </xf>
    <xf numFmtId="179" fontId="31" fillId="2" borderId="15" xfId="0" quotePrefix="1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left" vertical="center"/>
    </xf>
    <xf numFmtId="0" fontId="37" fillId="2" borderId="15" xfId="0" applyFont="1" applyFill="1" applyBorder="1" applyAlignment="1">
      <alignment horizontal="left" vertical="center" shrinkToFit="1"/>
    </xf>
    <xf numFmtId="14" fontId="31" fillId="2" borderId="15" xfId="0" applyNumberFormat="1" applyFont="1" applyFill="1" applyBorder="1" applyAlignment="1">
      <alignment horizontal="center" vertical="center"/>
    </xf>
    <xf numFmtId="0" fontId="20" fillId="0" borderId="0" xfId="0" applyFont="1"/>
    <xf numFmtId="0" fontId="118" fillId="0" borderId="0" xfId="0" applyFont="1" applyFill="1" applyAlignment="1">
      <alignment vertical="center"/>
    </xf>
    <xf numFmtId="0" fontId="107" fillId="0" borderId="0" xfId="0" applyFont="1" applyFill="1" applyAlignment="1">
      <alignment horizontal="center" vertical="center"/>
    </xf>
    <xf numFmtId="0" fontId="119" fillId="0" borderId="0" xfId="0" applyFont="1" applyFill="1" applyAlignment="1">
      <alignment horizontal="center" vertical="center"/>
    </xf>
    <xf numFmtId="0" fontId="108" fillId="0" borderId="0" xfId="0" applyFont="1" applyFill="1" applyAlignment="1">
      <alignment vertical="center" wrapText="1"/>
    </xf>
    <xf numFmtId="0" fontId="108" fillId="0" borderId="0" xfId="0" applyFont="1" applyFill="1" applyAlignment="1">
      <alignment vertical="center"/>
    </xf>
    <xf numFmtId="0" fontId="71" fillId="2" borderId="21" xfId="0" applyFont="1" applyFill="1" applyBorder="1" applyAlignment="1">
      <alignment horizontal="right" vertical="center"/>
    </xf>
    <xf numFmtId="0" fontId="72" fillId="2" borderId="15" xfId="0" applyFont="1" applyFill="1" applyBorder="1" applyAlignment="1">
      <alignment horizontal="center" vertical="center"/>
    </xf>
    <xf numFmtId="0" fontId="71" fillId="2" borderId="15" xfId="0" applyFont="1" applyFill="1" applyBorder="1" applyAlignment="1">
      <alignment horizontal="center" vertical="center"/>
    </xf>
    <xf numFmtId="0" fontId="120" fillId="2" borderId="0" xfId="0" applyFont="1" applyFill="1" applyAlignment="1">
      <alignment vertical="center"/>
    </xf>
    <xf numFmtId="0" fontId="122" fillId="2" borderId="0" xfId="0" applyFont="1" applyFill="1" applyAlignment="1">
      <alignment vertical="center" wrapText="1"/>
    </xf>
    <xf numFmtId="0" fontId="122" fillId="2" borderId="15" xfId="0" applyFont="1" applyFill="1" applyBorder="1" applyAlignment="1">
      <alignment horizontal="center" vertical="center" wrapText="1"/>
    </xf>
    <xf numFmtId="0" fontId="121" fillId="2" borderId="20" xfId="0" applyFont="1" applyFill="1" applyBorder="1" applyAlignment="1">
      <alignment horizontal="right" vertical="top" shrinkToFit="1"/>
    </xf>
    <xf numFmtId="0" fontId="125" fillId="2" borderId="21" xfId="0" applyFont="1" applyFill="1" applyBorder="1" applyAlignment="1">
      <alignment vertical="top" wrapText="1" shrinkToFit="1"/>
    </xf>
    <xf numFmtId="0" fontId="122" fillId="2" borderId="21" xfId="0" applyFont="1" applyFill="1" applyBorder="1" applyAlignment="1">
      <alignment vertical="top" wrapText="1" shrinkToFit="1"/>
    </xf>
    <xf numFmtId="0" fontId="121" fillId="2" borderId="20" xfId="0" applyFont="1" applyFill="1" applyBorder="1" applyAlignment="1">
      <alignment horizontal="center" vertical="top" shrinkToFit="1"/>
    </xf>
    <xf numFmtId="0" fontId="122" fillId="2" borderId="21" xfId="0" quotePrefix="1" applyFont="1" applyFill="1" applyBorder="1" applyAlignment="1">
      <alignment vertical="top" wrapText="1" shrinkToFit="1"/>
    </xf>
    <xf numFmtId="0" fontId="99" fillId="2" borderId="0" xfId="0" applyFont="1" applyFill="1" applyAlignment="1">
      <alignment vertical="center"/>
    </xf>
    <xf numFmtId="0" fontId="35" fillId="0" borderId="0" xfId="0" applyFont="1"/>
    <xf numFmtId="0" fontId="35" fillId="2" borderId="0" xfId="0" applyFont="1" applyFill="1"/>
    <xf numFmtId="0" fontId="35" fillId="2" borderId="0" xfId="0" applyFont="1" applyFill="1" applyAlignment="1">
      <alignment horizontal="right"/>
    </xf>
    <xf numFmtId="0" fontId="35" fillId="2" borderId="0" xfId="0" applyFont="1" applyFill="1" applyAlignment="1">
      <alignment horizontal="center" vertical="top"/>
    </xf>
    <xf numFmtId="0" fontId="35" fillId="2" borderId="0" xfId="0" applyFont="1" applyFill="1" applyAlignment="1">
      <alignment horizontal="left" wrapText="1"/>
    </xf>
    <xf numFmtId="165" fontId="96" fillId="2" borderId="0" xfId="0" applyNumberFormat="1" applyFont="1" applyFill="1" applyAlignment="1">
      <alignment shrinkToFit="1"/>
    </xf>
    <xf numFmtId="0" fontId="0" fillId="0" borderId="0" xfId="0"/>
    <xf numFmtId="0" fontId="3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6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1" fillId="0" borderId="15" xfId="0" applyFont="1" applyBorder="1"/>
    <xf numFmtId="0" fontId="129" fillId="0" borderId="15" xfId="0" applyFont="1" applyBorder="1" applyAlignment="1">
      <alignment horizontal="center" vertical="center"/>
    </xf>
    <xf numFmtId="0" fontId="12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21" fillId="2" borderId="0" xfId="0" applyFont="1" applyFill="1" applyAlignment="1">
      <alignment vertical="center" shrinkToFit="1"/>
    </xf>
    <xf numFmtId="0" fontId="29" fillId="2" borderId="0" xfId="0" applyFont="1" applyFill="1" applyBorder="1" applyAlignment="1">
      <alignment vertical="center"/>
    </xf>
    <xf numFmtId="0" fontId="131" fillId="0" borderId="15" xfId="0" applyFont="1" applyBorder="1" applyAlignment="1">
      <alignment horizontal="center" vertical="center"/>
    </xf>
    <xf numFmtId="0" fontId="131" fillId="0" borderId="15" xfId="0" applyFont="1" applyFill="1" applyBorder="1" applyAlignment="1">
      <alignment horizontal="center" vertical="center" wrapText="1"/>
    </xf>
    <xf numFmtId="0" fontId="134" fillId="0" borderId="0" xfId="0" applyFont="1" applyAlignment="1">
      <alignment horizontal="center"/>
    </xf>
    <xf numFmtId="0" fontId="134" fillId="0" borderId="2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4" fillId="0" borderId="15" xfId="0" applyFont="1" applyBorder="1" applyAlignment="1">
      <alignment horizontal="center" vertical="center" wrapText="1"/>
    </xf>
    <xf numFmtId="0" fontId="134" fillId="0" borderId="15" xfId="0" applyFont="1" applyBorder="1" applyAlignment="1">
      <alignment vertical="center" wrapText="1"/>
    </xf>
    <xf numFmtId="0" fontId="134" fillId="0" borderId="0" xfId="0" applyFont="1" applyAlignment="1">
      <alignment vertical="center" wrapText="1"/>
    </xf>
    <xf numFmtId="0" fontId="136" fillId="0" borderId="15" xfId="0" applyFont="1" applyBorder="1" applyAlignment="1">
      <alignment horizontal="center" vertical="center" wrapText="1"/>
    </xf>
    <xf numFmtId="0" fontId="130" fillId="0" borderId="15" xfId="0" applyFont="1" applyBorder="1" applyAlignment="1">
      <alignment horizontal="center" vertical="center" wrapText="1"/>
    </xf>
    <xf numFmtId="0" fontId="0" fillId="0" borderId="0" xfId="0" applyAlignment="1"/>
    <xf numFmtId="0" fontId="58" fillId="0" borderId="15" xfId="0" applyFont="1" applyBorder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3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0" fontId="51" fillId="0" borderId="21" xfId="0" applyFont="1" applyBorder="1" applyProtection="1"/>
    <xf numFmtId="0" fontId="30" fillId="2" borderId="15" xfId="0" applyFont="1" applyFill="1" applyBorder="1" applyAlignment="1">
      <alignment horizontal="center" vertical="center" wrapText="1"/>
    </xf>
    <xf numFmtId="0" fontId="130" fillId="0" borderId="15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vertical="center" shrinkToFit="1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center" vertical="center" shrinkToFit="1"/>
    </xf>
    <xf numFmtId="0" fontId="18" fillId="3" borderId="25" xfId="0" applyFont="1" applyFill="1" applyBorder="1" applyAlignment="1">
      <alignment horizontal="center" vertical="center" shrinkToFit="1"/>
    </xf>
    <xf numFmtId="0" fontId="18" fillId="3" borderId="26" xfId="0" applyFont="1" applyFill="1" applyBorder="1" applyAlignment="1">
      <alignment horizontal="center" vertical="center" shrinkToFit="1"/>
    </xf>
    <xf numFmtId="0" fontId="18" fillId="3" borderId="25" xfId="0" applyFont="1" applyFill="1" applyBorder="1" applyAlignment="1">
      <alignment horizontal="center" vertical="center" wrapText="1" shrinkToFit="1"/>
    </xf>
    <xf numFmtId="0" fontId="8" fillId="3" borderId="25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center" vertical="center" wrapText="1" shrinkToFi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83" fillId="5" borderId="0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 wrapText="1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25" fillId="5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5" borderId="8" xfId="0" applyFont="1" applyFill="1" applyBorder="1" applyAlignment="1">
      <alignment horizontal="right" vertical="center"/>
    </xf>
    <xf numFmtId="0" fontId="22" fillId="2" borderId="5" xfId="0" applyFont="1" applyFill="1" applyBorder="1" applyAlignment="1">
      <alignment horizontal="left" vertical="center"/>
    </xf>
    <xf numFmtId="0" fontId="25" fillId="5" borderId="1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top" wrapText="1"/>
    </xf>
    <xf numFmtId="165" fontId="34" fillId="2" borderId="0" xfId="0" applyNumberFormat="1" applyFont="1" applyFill="1" applyAlignment="1">
      <alignment horizontal="center" shrinkToFit="1"/>
    </xf>
    <xf numFmtId="0" fontId="21" fillId="2" borderId="0" xfId="0" applyFont="1" applyFill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38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vertical="top" wrapText="1"/>
    </xf>
    <xf numFmtId="0" fontId="37" fillId="2" borderId="0" xfId="0" applyFont="1" applyFill="1" applyAlignment="1" applyProtection="1">
      <alignment horizontal="center" vertical="center"/>
    </xf>
    <xf numFmtId="0" fontId="37" fillId="2" borderId="31" xfId="0" applyFont="1" applyFill="1" applyBorder="1" applyAlignment="1" applyProtection="1">
      <alignment horizontal="center" vertical="center"/>
    </xf>
    <xf numFmtId="0" fontId="40" fillId="2" borderId="0" xfId="0" applyFont="1" applyFill="1" applyAlignment="1" applyProtection="1">
      <alignment horizontal="center"/>
    </xf>
    <xf numFmtId="0" fontId="40" fillId="2" borderId="31" xfId="0" applyFont="1" applyFill="1" applyBorder="1" applyAlignment="1" applyProtection="1">
      <alignment horizontal="center"/>
    </xf>
    <xf numFmtId="0" fontId="37" fillId="8" borderId="20" xfId="0" applyFont="1" applyFill="1" applyBorder="1" applyAlignment="1" applyProtection="1">
      <alignment horizontal="right" vertical="center"/>
    </xf>
    <xf numFmtId="0" fontId="51" fillId="0" borderId="5" xfId="0" applyFont="1" applyBorder="1" applyAlignment="1" applyProtection="1">
      <alignment horizontal="right" vertical="center"/>
    </xf>
    <xf numFmtId="0" fontId="54" fillId="2" borderId="29" xfId="0" applyFont="1" applyFill="1" applyBorder="1" applyAlignment="1" applyProtection="1">
      <alignment horizontal="center" vertical="center" wrapText="1"/>
    </xf>
    <xf numFmtId="0" fontId="54" fillId="2" borderId="26" xfId="0" applyFont="1" applyFill="1" applyBorder="1" applyAlignment="1" applyProtection="1">
      <alignment horizontal="center" vertical="center" wrapText="1"/>
    </xf>
    <xf numFmtId="0" fontId="38" fillId="2" borderId="29" xfId="0" applyFont="1" applyFill="1" applyBorder="1" applyAlignment="1" applyProtection="1">
      <alignment horizontal="center" vertical="center" wrapText="1"/>
    </xf>
    <xf numFmtId="0" fontId="38" fillId="2" borderId="26" xfId="0" applyFont="1" applyFill="1" applyBorder="1" applyAlignment="1" applyProtection="1">
      <alignment horizontal="center" vertical="center" wrapText="1"/>
    </xf>
    <xf numFmtId="0" fontId="51" fillId="0" borderId="26" xfId="0" applyFont="1" applyBorder="1" applyProtection="1"/>
    <xf numFmtId="0" fontId="70" fillId="8" borderId="5" xfId="0" applyFont="1" applyFill="1" applyBorder="1" applyAlignment="1" applyProtection="1">
      <alignment horizontal="center" vertical="center"/>
    </xf>
    <xf numFmtId="0" fontId="70" fillId="8" borderId="21" xfId="0" applyFont="1" applyFill="1" applyBorder="1" applyAlignment="1" applyProtection="1">
      <alignment horizontal="center" vertical="center"/>
    </xf>
    <xf numFmtId="0" fontId="70" fillId="8" borderId="20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 applyProtection="1">
      <alignment horizontal="right" vertical="center"/>
    </xf>
    <xf numFmtId="171" fontId="29" fillId="2" borderId="5" xfId="0" applyNumberFormat="1" applyFont="1" applyFill="1" applyBorder="1" applyAlignment="1" applyProtection="1">
      <alignment horizontal="right" vertical="center"/>
    </xf>
    <xf numFmtId="171" fontId="29" fillId="2" borderId="21" xfId="0" applyNumberFormat="1" applyFont="1" applyFill="1" applyBorder="1" applyAlignment="1" applyProtection="1">
      <alignment horizontal="right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6" fillId="2" borderId="29" xfId="0" applyFont="1" applyFill="1" applyBorder="1" applyAlignment="1" applyProtection="1">
      <alignment horizontal="center" vertical="center" wrapText="1"/>
    </xf>
    <xf numFmtId="0" fontId="56" fillId="2" borderId="26" xfId="0" applyFont="1" applyFill="1" applyBorder="1" applyAlignment="1" applyProtection="1">
      <alignment horizontal="center" vertical="center" wrapText="1"/>
    </xf>
    <xf numFmtId="0" fontId="38" fillId="2" borderId="20" xfId="0" applyFont="1" applyFill="1" applyBorder="1" applyAlignment="1" applyProtection="1">
      <alignment horizontal="center" vertical="center" wrapText="1"/>
    </xf>
    <xf numFmtId="0" fontId="38" fillId="2" borderId="21" xfId="0" applyFont="1" applyFill="1" applyBorder="1" applyAlignment="1" applyProtection="1">
      <alignment horizontal="center" vertical="center" wrapText="1"/>
    </xf>
    <xf numFmtId="0" fontId="23" fillId="2" borderId="0" xfId="0" applyFont="1" applyFill="1" applyAlignment="1" applyProtection="1">
      <alignment horizontal="center" vertical="center"/>
    </xf>
    <xf numFmtId="165" fontId="52" fillId="2" borderId="0" xfId="0" applyNumberFormat="1" applyFont="1" applyFill="1" applyAlignment="1" applyProtection="1">
      <alignment horizontal="center" vertical="center" shrinkToFit="1"/>
    </xf>
    <xf numFmtId="0" fontId="36" fillId="2" borderId="0" xfId="0" applyFont="1" applyFill="1" applyAlignment="1" applyProtection="1">
      <alignment horizontal="center" vertical="center"/>
    </xf>
    <xf numFmtId="0" fontId="56" fillId="2" borderId="15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175" fontId="62" fillId="2" borderId="0" xfId="0" applyNumberFormat="1" applyFont="1" applyFill="1" applyAlignment="1">
      <alignment horizontal="center" vertical="center" shrinkToFit="1"/>
    </xf>
    <xf numFmtId="0" fontId="53" fillId="2" borderId="0" xfId="0" applyFont="1" applyFill="1" applyAlignment="1">
      <alignment horizontal="center" vertical="center"/>
    </xf>
    <xf numFmtId="0" fontId="38" fillId="2" borderId="15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 applyProtection="1">
      <alignment horizontal="center" vertical="center"/>
      <protection locked="0" hidden="1"/>
    </xf>
    <xf numFmtId="0" fontId="54" fillId="2" borderId="31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center" vertical="top" wrapText="1"/>
      <protection locked="0"/>
    </xf>
    <xf numFmtId="0" fontId="30" fillId="2" borderId="0" xfId="0" applyFont="1" applyFill="1" applyAlignment="1" applyProtection="1">
      <alignment horizontal="center"/>
      <protection locked="0"/>
    </xf>
    <xf numFmtId="0" fontId="37" fillId="2" borderId="15" xfId="0" applyFont="1" applyFill="1" applyBorder="1" applyAlignment="1" applyProtection="1">
      <alignment horizontal="center" vertical="center" wrapText="1"/>
      <protection locked="0"/>
    </xf>
    <xf numFmtId="165" fontId="52" fillId="2" borderId="0" xfId="0" applyNumberFormat="1" applyFont="1" applyFill="1" applyAlignment="1" applyProtection="1">
      <alignment horizontal="center" shrinkToFit="1"/>
      <protection locked="0"/>
    </xf>
    <xf numFmtId="0" fontId="53" fillId="2" borderId="0" xfId="0" applyFont="1" applyFill="1" applyAlignment="1" applyProtection="1">
      <alignment horizontal="center" vertical="center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0" fontId="56" fillId="2" borderId="15" xfId="0" applyFont="1" applyFill="1" applyBorder="1" applyAlignment="1" applyProtection="1">
      <alignment horizontal="center" vertical="center" wrapText="1"/>
      <protection locked="0"/>
    </xf>
    <xf numFmtId="0" fontId="54" fillId="2" borderId="15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right" vertical="center"/>
      <protection locked="0"/>
    </xf>
    <xf numFmtId="0" fontId="35" fillId="2" borderId="0" xfId="0" applyFont="1" applyFill="1" applyAlignment="1">
      <alignment horizontal="center" wrapText="1"/>
    </xf>
    <xf numFmtId="0" fontId="21" fillId="6" borderId="0" xfId="0" applyFont="1" applyFill="1" applyAlignment="1">
      <alignment horizontal="center" shrinkToFit="1"/>
    </xf>
    <xf numFmtId="0" fontId="74" fillId="6" borderId="0" xfId="0" applyFont="1" applyFill="1" applyAlignment="1">
      <alignment horizontal="center" vertical="top" shrinkToFit="1"/>
    </xf>
    <xf numFmtId="0" fontId="23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75" fillId="0" borderId="27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vertical="top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175" fontId="95" fillId="2" borderId="0" xfId="0" applyNumberFormat="1" applyFont="1" applyFill="1" applyAlignment="1">
      <alignment horizontal="center" shrinkToFit="1"/>
    </xf>
    <xf numFmtId="0" fontId="36" fillId="2" borderId="0" xfId="0" applyFont="1" applyFill="1" applyBorder="1" applyAlignment="1">
      <alignment horizontal="center" vertical="center"/>
    </xf>
    <xf numFmtId="0" fontId="65" fillId="2" borderId="15" xfId="0" applyFont="1" applyFill="1" applyBorder="1" applyAlignment="1">
      <alignment horizontal="center" vertical="center" wrapText="1"/>
    </xf>
    <xf numFmtId="0" fontId="82" fillId="2" borderId="0" xfId="0" applyFont="1" applyFill="1" applyAlignment="1">
      <alignment horizontal="center"/>
    </xf>
    <xf numFmtId="165" fontId="52" fillId="2" borderId="0" xfId="0" applyNumberFormat="1" applyFont="1" applyFill="1" applyAlignment="1">
      <alignment horizontal="center" shrinkToFit="1"/>
    </xf>
    <xf numFmtId="0" fontId="77" fillId="2" borderId="0" xfId="0" applyFont="1" applyFill="1" applyAlignment="1">
      <alignment horizontal="center"/>
    </xf>
    <xf numFmtId="0" fontId="78" fillId="2" borderId="0" xfId="0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30" fillId="2" borderId="15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54" fillId="2" borderId="31" xfId="0" applyFont="1" applyFill="1" applyBorder="1" applyAlignment="1">
      <alignment horizontal="center" vertical="center"/>
    </xf>
    <xf numFmtId="0" fontId="65" fillId="2" borderId="20" xfId="0" applyFont="1" applyFill="1" applyBorder="1" applyAlignment="1">
      <alignment horizontal="center" vertical="center"/>
    </xf>
    <xf numFmtId="0" fontId="65" fillId="2" borderId="21" xfId="0" applyFont="1" applyFill="1" applyBorder="1" applyAlignment="1">
      <alignment horizontal="center" vertical="center"/>
    </xf>
    <xf numFmtId="0" fontId="54" fillId="2" borderId="15" xfId="0" applyFont="1" applyFill="1" applyBorder="1" applyAlignment="1">
      <alignment horizontal="center" vertical="center" wrapText="1"/>
    </xf>
    <xf numFmtId="0" fontId="91" fillId="2" borderId="20" xfId="0" applyFont="1" applyFill="1" applyBorder="1" applyAlignment="1">
      <alignment horizontal="center" vertical="center"/>
    </xf>
    <xf numFmtId="0" fontId="91" fillId="2" borderId="21" xfId="0" applyFont="1" applyFill="1" applyBorder="1" applyAlignment="1">
      <alignment horizontal="center" vertical="center"/>
    </xf>
    <xf numFmtId="0" fontId="54" fillId="2" borderId="20" xfId="0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horizontal="center" vertical="center" wrapText="1"/>
    </xf>
    <xf numFmtId="175" fontId="86" fillId="2" borderId="0" xfId="0" applyNumberFormat="1" applyFont="1" applyFill="1" applyAlignment="1">
      <alignment horizontal="center" shrinkToFit="1"/>
    </xf>
    <xf numFmtId="0" fontId="23" fillId="2" borderId="0" xfId="0" applyFont="1" applyFill="1" applyAlignment="1">
      <alignment horizontal="center" vertical="center"/>
    </xf>
    <xf numFmtId="0" fontId="89" fillId="2" borderId="0" xfId="0" applyFont="1" applyFill="1" applyAlignment="1">
      <alignment horizontal="center" vertical="center"/>
    </xf>
    <xf numFmtId="0" fontId="37" fillId="2" borderId="31" xfId="0" applyFont="1" applyFill="1" applyBorder="1" applyAlignment="1">
      <alignment horizontal="center"/>
    </xf>
    <xf numFmtId="0" fontId="54" fillId="2" borderId="31" xfId="0" applyFont="1" applyFill="1" applyBorder="1" applyAlignment="1">
      <alignment horizontal="center"/>
    </xf>
    <xf numFmtId="165" fontId="96" fillId="2" borderId="0" xfId="0" applyNumberFormat="1" applyFont="1" applyFill="1" applyAlignment="1">
      <alignment horizontal="center" shrinkToFit="1"/>
    </xf>
    <xf numFmtId="0" fontId="21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98" fillId="2" borderId="31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175" fontId="96" fillId="2" borderId="0" xfId="0" applyNumberFormat="1" applyFont="1" applyFill="1" applyAlignment="1">
      <alignment horizontal="center" shrinkToFit="1"/>
    </xf>
    <xf numFmtId="0" fontId="97" fillId="2" borderId="0" xfId="0" applyFont="1" applyFill="1" applyAlignment="1">
      <alignment horizont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/>
    </xf>
    <xf numFmtId="0" fontId="38" fillId="2" borderId="21" xfId="0" applyFont="1" applyFill="1" applyBorder="1" applyAlignment="1">
      <alignment horizontal="center"/>
    </xf>
    <xf numFmtId="0" fontId="29" fillId="2" borderId="29" xfId="0" applyFont="1" applyFill="1" applyBorder="1" applyAlignment="1">
      <alignment horizontal="left" vertical="top" wrapText="1" indent="1"/>
    </xf>
    <xf numFmtId="0" fontId="29" fillId="2" borderId="44" xfId="0" applyFont="1" applyFill="1" applyBorder="1" applyAlignment="1">
      <alignment horizontal="left" vertical="top" wrapText="1" indent="1"/>
    </xf>
    <xf numFmtId="0" fontId="29" fillId="2" borderId="26" xfId="0" applyFont="1" applyFill="1" applyBorder="1" applyAlignment="1">
      <alignment horizontal="left" vertical="top" wrapText="1" indent="1"/>
    </xf>
    <xf numFmtId="0" fontId="37" fillId="2" borderId="0" xfId="0" applyFont="1" applyFill="1" applyAlignment="1">
      <alignment horizontal="center" vertical="center" shrinkToFit="1"/>
    </xf>
    <xf numFmtId="0" fontId="37" fillId="2" borderId="0" xfId="0" applyFont="1" applyFill="1" applyAlignment="1">
      <alignment horizontal="center" vertical="center"/>
    </xf>
    <xf numFmtId="0" fontId="75" fillId="2" borderId="0" xfId="0" applyFont="1" applyFill="1" applyBorder="1" applyAlignment="1">
      <alignment horizontal="center" vertical="center" wrapText="1" shrinkToFit="1"/>
    </xf>
    <xf numFmtId="0" fontId="29" fillId="2" borderId="34" xfId="0" applyFont="1" applyFill="1" applyBorder="1" applyAlignment="1">
      <alignment horizontal="center" vertical="center" shrinkToFit="1"/>
    </xf>
    <xf numFmtId="0" fontId="57" fillId="2" borderId="38" xfId="0" applyFont="1" applyFill="1" applyBorder="1" applyAlignment="1">
      <alignment horizontal="center" vertical="center" shrinkToFit="1"/>
    </xf>
    <xf numFmtId="0" fontId="29" fillId="2" borderId="35" xfId="0" applyFont="1" applyFill="1" applyBorder="1" applyAlignment="1">
      <alignment horizontal="center" vertical="center" shrinkToFit="1"/>
    </xf>
    <xf numFmtId="0" fontId="57" fillId="2" borderId="15" xfId="0" applyFont="1" applyFill="1" applyBorder="1" applyAlignment="1">
      <alignment vertical="center" shrinkToFit="1"/>
    </xf>
    <xf numFmtId="0" fontId="29" fillId="2" borderId="36" xfId="0" applyFont="1" applyFill="1" applyBorder="1" applyAlignment="1">
      <alignment horizontal="center" vertical="center" shrinkToFit="1"/>
    </xf>
    <xf numFmtId="0" fontId="57" fillId="2" borderId="39" xfId="0" applyFont="1" applyFill="1" applyBorder="1" applyAlignment="1">
      <alignment vertical="center" shrinkToFit="1"/>
    </xf>
    <xf numFmtId="165" fontId="86" fillId="2" borderId="0" xfId="0" applyNumberFormat="1" applyFont="1" applyFill="1" applyAlignment="1">
      <alignment horizontal="center" shrinkToFit="1"/>
    </xf>
    <xf numFmtId="0" fontId="29" fillId="2" borderId="0" xfId="0" applyFont="1" applyFill="1" applyAlignment="1">
      <alignment horizontal="center" vertical="center" shrinkToFit="1"/>
    </xf>
    <xf numFmtId="0" fontId="87" fillId="2" borderId="0" xfId="0" applyFont="1" applyFill="1" applyAlignment="1">
      <alignment horizontal="center" vertical="center" shrinkToFit="1"/>
    </xf>
    <xf numFmtId="0" fontId="40" fillId="6" borderId="54" xfId="0" applyFont="1" applyFill="1" applyBorder="1" applyAlignment="1">
      <alignment horizontal="center" vertical="center" wrapText="1"/>
    </xf>
    <xf numFmtId="0" fontId="40" fillId="6" borderId="55" xfId="0" applyFont="1" applyFill="1" applyBorder="1" applyAlignment="1">
      <alignment horizontal="center" vertical="center" wrapText="1"/>
    </xf>
    <xf numFmtId="0" fontId="40" fillId="6" borderId="56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100" fillId="6" borderId="15" xfId="0" applyFont="1" applyFill="1" applyBorder="1" applyAlignment="1">
      <alignment horizontal="center" vertical="center" wrapText="1"/>
    </xf>
    <xf numFmtId="0" fontId="100" fillId="6" borderId="49" xfId="0" applyFont="1" applyFill="1" applyBorder="1" applyAlignment="1">
      <alignment horizontal="center" vertical="center" wrapText="1"/>
    </xf>
    <xf numFmtId="0" fontId="100" fillId="6" borderId="50" xfId="0" applyFont="1" applyFill="1" applyBorder="1" applyAlignment="1">
      <alignment horizontal="center" vertical="center" wrapText="1"/>
    </xf>
    <xf numFmtId="0" fontId="100" fillId="6" borderId="51" xfId="0" applyFont="1" applyFill="1" applyBorder="1" applyAlignment="1">
      <alignment horizontal="center" vertical="center" wrapText="1"/>
    </xf>
    <xf numFmtId="0" fontId="100" fillId="6" borderId="20" xfId="0" applyFont="1" applyFill="1" applyBorder="1" applyAlignment="1">
      <alignment horizontal="center" vertical="center" wrapText="1"/>
    </xf>
    <xf numFmtId="0" fontId="100" fillId="6" borderId="5" xfId="0" applyFont="1" applyFill="1" applyBorder="1" applyAlignment="1">
      <alignment horizontal="center" vertical="center" wrapText="1"/>
    </xf>
    <xf numFmtId="0" fontId="100" fillId="6" borderId="21" xfId="0" applyFont="1" applyFill="1" applyBorder="1" applyAlignment="1">
      <alignment horizontal="center" vertical="center" wrapText="1"/>
    </xf>
    <xf numFmtId="0" fontId="38" fillId="6" borderId="38" xfId="0" applyFont="1" applyFill="1" applyBorder="1" applyAlignment="1">
      <alignment horizontal="center" vertical="center" wrapText="1"/>
    </xf>
    <xf numFmtId="0" fontId="38" fillId="6" borderId="52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shrinkToFit="1"/>
    </xf>
    <xf numFmtId="0" fontId="21" fillId="6" borderId="0" xfId="0" applyFont="1" applyFill="1" applyAlignment="1">
      <alignment horizontal="center" vertical="center"/>
    </xf>
    <xf numFmtId="0" fontId="21" fillId="6" borderId="32" xfId="0" applyFont="1" applyFill="1" applyBorder="1" applyAlignment="1">
      <alignment horizontal="center" vertical="center"/>
    </xf>
    <xf numFmtId="0" fontId="38" fillId="6" borderId="34" xfId="0" applyFont="1" applyFill="1" applyBorder="1" applyAlignment="1">
      <alignment horizontal="center" vertical="center" wrapText="1"/>
    </xf>
    <xf numFmtId="0" fontId="38" fillId="6" borderId="35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8" fillId="6" borderId="45" xfId="0" applyFont="1" applyFill="1" applyBorder="1" applyAlignment="1">
      <alignment horizontal="center" vertical="center" wrapText="1"/>
    </xf>
    <xf numFmtId="0" fontId="38" fillId="6" borderId="46" xfId="0" applyFont="1" applyFill="1" applyBorder="1" applyAlignment="1">
      <alignment horizontal="center" vertical="center" wrapText="1"/>
    </xf>
    <xf numFmtId="0" fontId="38" fillId="6" borderId="47" xfId="0" applyFont="1" applyFill="1" applyBorder="1" applyAlignment="1">
      <alignment horizontal="center" vertical="center" wrapText="1"/>
    </xf>
    <xf numFmtId="0" fontId="38" fillId="6" borderId="30" xfId="0" applyFont="1" applyFill="1" applyBorder="1" applyAlignment="1">
      <alignment horizontal="center" vertical="center" wrapText="1"/>
    </xf>
    <xf numFmtId="0" fontId="38" fillId="6" borderId="31" xfId="0" applyFont="1" applyFill="1" applyBorder="1" applyAlignment="1">
      <alignment horizontal="center" vertical="center" wrapText="1"/>
    </xf>
    <xf numFmtId="0" fontId="38" fillId="6" borderId="48" xfId="0" applyFont="1" applyFill="1" applyBorder="1" applyAlignment="1">
      <alignment horizontal="center" vertical="center" wrapText="1"/>
    </xf>
    <xf numFmtId="0" fontId="38" fillId="6" borderId="36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center" vertical="center" shrinkToFit="1"/>
    </xf>
    <xf numFmtId="0" fontId="23" fillId="6" borderId="32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shrinkToFit="1"/>
    </xf>
    <xf numFmtId="0" fontId="21" fillId="6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57" fillId="6" borderId="31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82" fillId="2" borderId="31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 textRotation="90" wrapText="1"/>
    </xf>
    <xf numFmtId="0" fontId="21" fillId="2" borderId="0" xfId="0" applyFont="1" applyFill="1" applyBorder="1" applyAlignment="1">
      <alignment horizontal="center" vertical="center"/>
    </xf>
    <xf numFmtId="165" fontId="117" fillId="2" borderId="0" xfId="0" applyNumberFormat="1" applyFont="1" applyFill="1" applyAlignment="1">
      <alignment horizontal="center" shrinkToFit="1"/>
    </xf>
    <xf numFmtId="0" fontId="22" fillId="6" borderId="0" xfId="0" applyFont="1" applyFill="1" applyAlignment="1">
      <alignment horizontal="center" vertical="center"/>
    </xf>
    <xf numFmtId="0" fontId="65" fillId="6" borderId="0" xfId="0" applyFont="1" applyFill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121" fillId="2" borderId="15" xfId="0" applyFont="1" applyFill="1" applyBorder="1" applyAlignment="1">
      <alignment horizontal="center" vertical="center"/>
    </xf>
    <xf numFmtId="0" fontId="122" fillId="2" borderId="15" xfId="0" applyFont="1" applyFill="1" applyBorder="1" applyAlignment="1">
      <alignment horizontal="center" vertical="center"/>
    </xf>
    <xf numFmtId="0" fontId="122" fillId="2" borderId="29" xfId="0" applyFont="1" applyFill="1" applyBorder="1" applyAlignment="1">
      <alignment horizontal="center" vertical="center" shrinkToFit="1"/>
    </xf>
    <xf numFmtId="0" fontId="122" fillId="2" borderId="44" xfId="0" applyFont="1" applyFill="1" applyBorder="1" applyAlignment="1">
      <alignment horizontal="center" vertical="center" shrinkToFit="1"/>
    </xf>
    <xf numFmtId="0" fontId="122" fillId="2" borderId="26" xfId="0" applyFont="1" applyFill="1" applyBorder="1" applyAlignment="1">
      <alignment horizontal="center" vertical="center" shrinkToFit="1"/>
    </xf>
    <xf numFmtId="0" fontId="121" fillId="2" borderId="29" xfId="0" applyFont="1" applyFill="1" applyBorder="1" applyAlignment="1">
      <alignment horizontal="center" vertical="center" textRotation="90" shrinkToFit="1"/>
    </xf>
    <xf numFmtId="0" fontId="121" fillId="2" borderId="44" xfId="0" applyFont="1" applyFill="1" applyBorder="1" applyAlignment="1">
      <alignment horizontal="center" vertical="center" textRotation="90" shrinkToFit="1"/>
    </xf>
    <xf numFmtId="0" fontId="121" fillId="2" borderId="26" xfId="0" applyFont="1" applyFill="1" applyBorder="1" applyAlignment="1">
      <alignment horizontal="center" vertical="center" textRotation="90" shrinkToFit="1"/>
    </xf>
    <xf numFmtId="0" fontId="121" fillId="2" borderId="15" xfId="0" applyFont="1" applyFill="1" applyBorder="1" applyAlignment="1">
      <alignment horizontal="center" vertical="center" shrinkToFit="1"/>
    </xf>
    <xf numFmtId="0" fontId="122" fillId="2" borderId="0" xfId="0" applyFont="1" applyFill="1" applyAlignment="1">
      <alignment horizontal="left" vertical="center" wrapText="1"/>
    </xf>
    <xf numFmtId="165" fontId="126" fillId="2" borderId="0" xfId="0" applyNumberFormat="1" applyFont="1" applyFill="1" applyAlignment="1">
      <alignment horizontal="center" shrinkToFit="1"/>
    </xf>
    <xf numFmtId="0" fontId="123" fillId="2" borderId="0" xfId="0" applyFont="1" applyFill="1" applyAlignment="1">
      <alignment horizontal="center" vertical="center" shrinkToFit="1"/>
    </xf>
    <xf numFmtId="0" fontId="124" fillId="2" borderId="0" xfId="0" applyFont="1" applyFill="1" applyAlignment="1">
      <alignment horizontal="center" vertical="center"/>
    </xf>
    <xf numFmtId="0" fontId="122" fillId="2" borderId="0" xfId="0" applyFont="1" applyFill="1" applyAlignment="1">
      <alignment horizontal="center" vertical="center" wrapText="1"/>
    </xf>
    <xf numFmtId="0" fontId="127" fillId="2" borderId="0" xfId="0" applyFont="1" applyFill="1" applyAlignment="1">
      <alignment horizontal="left" shrinkToFit="1"/>
    </xf>
    <xf numFmtId="0" fontId="35" fillId="2" borderId="0" xfId="0" applyFont="1" applyFill="1" applyAlignment="1">
      <alignment horizontal="center" vertical="top"/>
    </xf>
    <xf numFmtId="0" fontId="35" fillId="2" borderId="0" xfId="0" applyFont="1" applyFill="1" applyAlignment="1">
      <alignment horizontal="left" vertical="top" wrapText="1"/>
    </xf>
    <xf numFmtId="0" fontId="35" fillId="2" borderId="0" xfId="0" applyFont="1" applyFill="1" applyAlignment="1">
      <alignment horizontal="justify" vertical="center" wrapText="1"/>
    </xf>
    <xf numFmtId="0" fontId="35" fillId="2" borderId="0" xfId="0" applyFont="1" applyFill="1" applyAlignment="1">
      <alignment horizontal="left"/>
    </xf>
    <xf numFmtId="0" fontId="132" fillId="0" borderId="15" xfId="0" applyFont="1" applyBorder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165" fontId="96" fillId="2" borderId="0" xfId="0" applyNumberFormat="1" applyFont="1" applyFill="1" applyAlignment="1">
      <alignment horizontal="center" vertical="center" shrinkToFit="1"/>
    </xf>
    <xf numFmtId="0" fontId="139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wrapText="1"/>
    </xf>
    <xf numFmtId="0" fontId="133" fillId="0" borderId="0" xfId="0" applyFont="1" applyAlignment="1">
      <alignment horizontal="center" vertical="center"/>
    </xf>
    <xf numFmtId="0" fontId="135" fillId="0" borderId="0" xfId="0" applyFont="1" applyAlignment="1">
      <alignment horizontal="center"/>
    </xf>
    <xf numFmtId="0" fontId="137" fillId="0" borderId="0" xfId="0" applyFont="1" applyAlignment="1">
      <alignment horizontal="center"/>
    </xf>
    <xf numFmtId="0" fontId="138" fillId="0" borderId="31" xfId="0" applyFont="1" applyBorder="1" applyAlignment="1">
      <alignment horizontal="center" vertical="center"/>
    </xf>
    <xf numFmtId="0" fontId="143" fillId="0" borderId="31" xfId="0" applyFont="1" applyBorder="1" applyAlignment="1">
      <alignment horizontal="left" vertical="center"/>
    </xf>
    <xf numFmtId="0" fontId="125" fillId="0" borderId="31" xfId="0" applyFont="1" applyBorder="1" applyAlignment="1">
      <alignment horizontal="center"/>
    </xf>
    <xf numFmtId="0" fontId="125" fillId="0" borderId="0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130" fillId="0" borderId="15" xfId="0" applyFont="1" applyBorder="1" applyAlignment="1">
      <alignment horizontal="center" vertical="center" wrapText="1"/>
    </xf>
    <xf numFmtId="0" fontId="144" fillId="0" borderId="0" xfId="0" applyFont="1" applyBorder="1" applyAlignment="1">
      <alignment horizontal="center"/>
    </xf>
    <xf numFmtId="0" fontId="140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/>
    </xf>
    <xf numFmtId="0" fontId="122" fillId="0" borderId="0" xfId="0" applyFont="1" applyBorder="1" applyAlignment="1">
      <alignment horizontal="center"/>
    </xf>
    <xf numFmtId="0" fontId="142" fillId="0" borderId="0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142" fillId="0" borderId="0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3" formatCode="0%"/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vLys 010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indent="0" relativeIndent="255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indexed="9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</patternFill>
      </fill>
      <alignment textRotation="0" indent="0" relativeIndent="255" justifyLastLine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jun Wide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0099"/>
      </font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457199</xdr:colOff>
      <xdr:row>18</xdr:row>
      <xdr:rowOff>0</xdr:rowOff>
    </xdr:from>
    <xdr:to>
      <xdr:col>28</xdr:col>
      <xdr:colOff>257174</xdr:colOff>
      <xdr:row>25</xdr:row>
      <xdr:rowOff>69723</xdr:rowOff>
    </xdr:to>
    <xdr:sp macro="" textlink="">
      <xdr:nvSpPr>
        <xdr:cNvPr id="2" name="Oval Callout 1"/>
        <xdr:cNvSpPr/>
      </xdr:nvSpPr>
      <xdr:spPr>
        <a:xfrm>
          <a:off x="13592174" y="4010025"/>
          <a:ext cx="2238375" cy="1403223"/>
        </a:xfrm>
        <a:prstGeom prst="wedgeEllipseCallout">
          <a:avLst>
            <a:gd name="adj1" fmla="val -162499"/>
            <a:gd name="adj2" fmla="val 422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7030A0"/>
              </a:solidFill>
              <a:latin typeface="DevLys 010" pitchFamily="2" charset="0"/>
            </a:rPr>
            <a:t>tks Hkh in fjDr gksxk o yky</a:t>
          </a:r>
          <a:r>
            <a:rPr lang="en-US" sz="1600" b="1" baseline="0">
              <a:solidFill>
                <a:srgbClr val="7030A0"/>
              </a:solidFill>
              <a:latin typeface="DevLys 010" pitchFamily="2" charset="0"/>
            </a:rPr>
            <a:t> dyj ds VsDl esa vyx ls 'kks djsxk A</a:t>
          </a:r>
          <a:endParaRPr lang="en-US" sz="1600" b="1">
            <a:solidFill>
              <a:srgbClr val="7030A0"/>
            </a:solidFill>
            <a:latin typeface="DevLys 01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0</xdr:rowOff>
    </xdr:from>
    <xdr:to>
      <xdr:col>15</xdr:col>
      <xdr:colOff>514350</xdr:colOff>
      <xdr:row>14</xdr:row>
      <xdr:rowOff>212598</xdr:rowOff>
    </xdr:to>
    <xdr:sp macro="" textlink="">
      <xdr:nvSpPr>
        <xdr:cNvPr id="2" name="Oval Callout 1"/>
        <xdr:cNvSpPr/>
      </xdr:nvSpPr>
      <xdr:spPr>
        <a:xfrm>
          <a:off x="8943975" y="2466975"/>
          <a:ext cx="2343150" cy="1403223"/>
        </a:xfrm>
        <a:prstGeom prst="wedgeEllipseCallout">
          <a:avLst>
            <a:gd name="adj1" fmla="val -162499"/>
            <a:gd name="adj2" fmla="val 422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solidFill>
                <a:srgbClr val="FFFF00"/>
              </a:solidFill>
              <a:latin typeface="DevLys 010" pitchFamily="2" charset="0"/>
            </a:rPr>
            <a:t>ftruk fizUV ysuk gSA mu jkW o lsy dks j[ks ckfd jkW dks gkbM</a:t>
          </a:r>
          <a:r>
            <a:rPr lang="en-US" sz="1600" b="1" baseline="0">
              <a:solidFill>
                <a:srgbClr val="FFFF00"/>
              </a:solidFill>
              <a:latin typeface="DevLys 010" pitchFamily="2" charset="0"/>
            </a:rPr>
            <a:t> dj fizUV ysos A</a:t>
          </a:r>
          <a:endParaRPr lang="en-US" sz="1600" b="1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9</xdr:row>
      <xdr:rowOff>336176</xdr:rowOff>
    </xdr:from>
    <xdr:to>
      <xdr:col>3</xdr:col>
      <xdr:colOff>1019735</xdr:colOff>
      <xdr:row>11</xdr:row>
      <xdr:rowOff>44823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flipV="1">
          <a:off x="112059" y="3688976"/>
          <a:ext cx="4184276" cy="66114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623047</xdr:colOff>
      <xdr:row>8</xdr:row>
      <xdr:rowOff>67235</xdr:rowOff>
    </xdr:from>
    <xdr:to>
      <xdr:col>7</xdr:col>
      <xdr:colOff>1143000</xdr:colOff>
      <xdr:row>9</xdr:row>
      <xdr:rowOff>163606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flipV="1">
          <a:off x="4995022" y="2943785"/>
          <a:ext cx="3853703" cy="57262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I/Downloads/Budget%20Ras%20N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I/Downloads/budget%20ratanade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Data "/>
      <sheetName val="Back Increement"/>
      <sheetName val="Table"/>
      <sheetName val="Data Entry"/>
      <sheetName val="F Letter"/>
      <sheetName val="Summary"/>
      <sheetName val="(1) Format 10"/>
      <sheetName val="(1) Prapatra Kh"/>
      <sheetName val="(1) Income"/>
      <sheetName val="(2) Namankan"/>
      <sheetName val="(2) Enrollment"/>
      <sheetName val="(6) 01-Salary"/>
      <sheetName val="(3) Format 8"/>
      <sheetName val="(5) Format 9"/>
      <sheetName val="(4) Format 1(A)"/>
      <sheetName val="(4) Format 1(B)"/>
      <sheetName val="(4) Format 1(C)"/>
      <sheetName val="Format 2"/>
      <sheetName val="Format 3"/>
      <sheetName val="Format 4"/>
      <sheetName val="Format 5"/>
      <sheetName val="Format 6"/>
      <sheetName val="Format 7"/>
      <sheetName val="Format 4(A)"/>
      <sheetName val="Format 4(B)"/>
      <sheetName val="Format 9(1)"/>
      <sheetName val="Format 9(2)"/>
      <sheetName val="Scholership"/>
      <sheetName val="DA AREAR"/>
      <sheetName val="NPS"/>
      <sheetName val="(7) PL Encash"/>
      <sheetName val="(8) Pending TA-Med List"/>
      <sheetName val="(9) Liveries"/>
      <sheetName val="Form 3"/>
      <sheetName val="Praptra3"/>
      <sheetName val="Prapatra4"/>
      <sheetName val="(10) FIX PAY"/>
      <sheetName val="(11) SANVIDA"/>
    </sheetNames>
    <sheetDataSet>
      <sheetData sheetId="0"/>
      <sheetData sheetId="1"/>
      <sheetData sheetId="2"/>
      <sheetData sheetId="3">
        <row r="5">
          <cell r="C5" t="str">
            <v>NON PLAN - BOYS</v>
          </cell>
        </row>
        <row r="59">
          <cell r="BJ59">
            <v>0</v>
          </cell>
        </row>
        <row r="60">
          <cell r="BJ60">
            <v>0</v>
          </cell>
        </row>
        <row r="61">
          <cell r="BJ61">
            <v>0</v>
          </cell>
        </row>
        <row r="62">
          <cell r="BJ62">
            <v>0</v>
          </cell>
        </row>
        <row r="63">
          <cell r="BJ63">
            <v>0</v>
          </cell>
        </row>
        <row r="64">
          <cell r="BJ64">
            <v>0</v>
          </cell>
        </row>
        <row r="65">
          <cell r="BJ65">
            <v>0</v>
          </cell>
        </row>
        <row r="66">
          <cell r="BJ66">
            <v>0</v>
          </cell>
        </row>
        <row r="100">
          <cell r="CP100">
            <v>0</v>
          </cell>
        </row>
        <row r="101">
          <cell r="CP101">
            <v>0</v>
          </cell>
        </row>
        <row r="102">
          <cell r="CP102">
            <v>0</v>
          </cell>
        </row>
        <row r="103">
          <cell r="CP103">
            <v>0</v>
          </cell>
        </row>
        <row r="104">
          <cell r="CP104">
            <v>0</v>
          </cell>
        </row>
        <row r="105">
          <cell r="CP105">
            <v>0</v>
          </cell>
        </row>
        <row r="106">
          <cell r="CP106">
            <v>0</v>
          </cell>
        </row>
        <row r="107">
          <cell r="CP107">
            <v>0</v>
          </cell>
        </row>
        <row r="108">
          <cell r="CP108">
            <v>0</v>
          </cell>
        </row>
      </sheetData>
      <sheetData sheetId="4"/>
      <sheetData sheetId="5">
        <row r="1">
          <cell r="C1">
            <v>14807</v>
          </cell>
        </row>
        <row r="2">
          <cell r="A2" t="str">
            <v>iz/kkukpk;Z jktdh; vkn'kZ mPp ek/;fed fo|ky; jkl ¼ikyh½</v>
          </cell>
        </row>
        <row r="5">
          <cell r="A5" t="str">
            <v>BUDGET HEAD : 2202-GENERAL EDUCATION, 02-SECONDARY EDUCATION, 109-GOVT. SEC. SCHOOL, (27)-BOYS SCHOOL (01) (STATE FUND)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16">
          <cell r="F116">
            <v>7.0000000000000007E-2</v>
          </cell>
        </row>
        <row r="331">
          <cell r="M331">
            <v>5861145</v>
          </cell>
          <cell r="N331">
            <v>5708500</v>
          </cell>
        </row>
        <row r="332">
          <cell r="M332">
            <v>0</v>
          </cell>
          <cell r="N332">
            <v>13000</v>
          </cell>
        </row>
        <row r="333">
          <cell r="M333">
            <v>0</v>
          </cell>
          <cell r="N333">
            <v>12000</v>
          </cell>
        </row>
      </sheetData>
      <sheetData sheetId="13"/>
      <sheetData sheetId="14"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F29">
            <v>0</v>
          </cell>
          <cell r="Q29">
            <v>0</v>
          </cell>
        </row>
        <row r="30">
          <cell r="Q30">
            <v>0</v>
          </cell>
        </row>
        <row r="31">
          <cell r="F31">
            <v>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A1"/>
      <sheetName val="summary"/>
      <sheetName val="8A"/>
      <sheetName val="7th pay"/>
      <sheetName val="GA2"/>
      <sheetName val="GA3"/>
      <sheetName val="1A"/>
      <sheetName val="1B"/>
      <sheetName val="1C "/>
      <sheetName val="1D"/>
      <sheetName val="2"/>
      <sheetName val="3"/>
      <sheetName val="4"/>
      <sheetName val="5A"/>
      <sheetName val="5B"/>
      <sheetName val="6"/>
      <sheetName val="7 SC"/>
      <sheetName val="7 SC (2)"/>
      <sheetName val="7 ST"/>
      <sheetName val="7 ST (2)"/>
      <sheetName val="7 SBC"/>
      <sheetName val="7 SBC (2)"/>
      <sheetName val="7 OBC"/>
      <sheetName val="7 OBC (2)"/>
    </sheetNames>
    <sheetDataSet>
      <sheetData sheetId="0">
        <row r="36">
          <cell r="M36">
            <v>1011302</v>
          </cell>
          <cell r="R36">
            <v>985470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id="1" name="Table3" displayName="Table3" ref="A6:G65" totalsRowShown="0" headerRowDxfId="11" dataDxfId="9" headerRowBorderDxfId="10" tableBorderDxfId="8" totalsRowBorderDxfId="7">
  <tableColumns count="7">
    <tableColumn id="1" name="1" dataDxfId="6"/>
    <tableColumn id="2" name="2" dataDxfId="5">
      <calculatedColumnFormula>'[1](3) Format 8'!C12</calculatedColumnFormula>
    </tableColumn>
    <tableColumn id="3" name="3" dataDxfId="4">
      <calculatedColumnFormula>'[1](3) Format 8'!F12</calculatedColumnFormula>
    </tableColumn>
    <tableColumn id="4" name="4" dataDxfId="3">
      <calculatedColumnFormula>('[1](3) Format 8'!I12)-ROUND(('[1](3) Format 8'!I12)*2.935%,-1)</calculatedColumnFormula>
    </tableColumn>
    <tableColumn id="5" name="5" dataDxfId="2">
      <calculatedColumnFormula>'[1](3) Format 8'!D117</calculatedColumnFormula>
    </tableColumn>
    <tableColumn id="6" name="6" dataDxfId="1">
      <calculatedColumnFormula>IF(AND(D7=""),"",ROUND((D7*E7)*2,0))</calculatedColumnFormula>
    </tableColumn>
    <tableColumn id="7" name="7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D282"/>
  <sheetViews>
    <sheetView workbookViewId="0">
      <selection activeCell="H4" sqref="H4"/>
    </sheetView>
  </sheetViews>
  <sheetFormatPr defaultRowHeight="15"/>
  <cols>
    <col min="1" max="1" width="9.42578125" customWidth="1"/>
    <col min="2" max="2" width="28.7109375" customWidth="1"/>
    <col min="3" max="3" width="17.5703125" customWidth="1"/>
    <col min="4" max="4" width="16.140625" customWidth="1"/>
    <col min="5" max="5" width="13" customWidth="1"/>
    <col min="6" max="6" width="19" customWidth="1"/>
    <col min="7" max="7" width="14.5703125" customWidth="1"/>
    <col min="8" max="8" width="11.85546875" customWidth="1"/>
    <col min="9" max="9" width="13.28515625" customWidth="1"/>
    <col min="10" max="10" width="12.28515625" customWidth="1"/>
    <col min="11" max="11" width="25.42578125" customWidth="1"/>
    <col min="30" max="30" width="9.140625" customWidth="1"/>
    <col min="31" max="31" width="9.140625" hidden="1" customWidth="1"/>
    <col min="32" max="32" width="18.7109375" hidden="1" customWidth="1"/>
    <col min="33" max="33" width="15.140625" hidden="1" customWidth="1"/>
    <col min="34" max="35" width="9.140625" hidden="1" customWidth="1"/>
    <col min="36" max="36" width="19.7109375" hidden="1" customWidth="1"/>
    <col min="37" max="44" width="9.140625" hidden="1" customWidth="1"/>
    <col min="45" max="45" width="13.5703125" hidden="1" customWidth="1"/>
    <col min="46" max="48" width="9.140625" hidden="1" customWidth="1"/>
    <col min="49" max="49" width="12.5703125" hidden="1" customWidth="1"/>
    <col min="50" max="50" width="10.7109375" hidden="1" customWidth="1"/>
    <col min="51" max="51" width="9.140625" hidden="1" customWidth="1"/>
    <col min="58" max="58" width="18" customWidth="1"/>
    <col min="71" max="71" width="14" customWidth="1"/>
    <col min="72" max="72" width="12.42578125" customWidth="1"/>
    <col min="73" max="73" width="9.85546875" customWidth="1"/>
    <col min="75" max="76" width="14.140625" customWidth="1"/>
    <col min="84" max="84" width="17.7109375" customWidth="1"/>
    <col min="85" max="85" width="12.140625" customWidth="1"/>
    <col min="97" max="97" width="16.85546875" customWidth="1"/>
  </cols>
  <sheetData>
    <row r="1" spans="1:75" ht="21" thickTop="1">
      <c r="A1" s="573" t="s">
        <v>0</v>
      </c>
      <c r="B1" s="574"/>
      <c r="C1" s="55" t="s">
        <v>1</v>
      </c>
      <c r="D1" s="523" t="s">
        <v>160</v>
      </c>
      <c r="E1" s="523"/>
      <c r="F1" s="523"/>
      <c r="G1" s="523"/>
      <c r="H1" s="523"/>
      <c r="I1" s="524"/>
      <c r="J1" s="43"/>
      <c r="K1" s="43"/>
      <c r="L1" s="75"/>
      <c r="M1" s="75"/>
      <c r="N1" s="75"/>
    </row>
    <row r="2" spans="1:75" ht="20.25">
      <c r="A2" s="575" t="s">
        <v>2</v>
      </c>
      <c r="B2" s="576"/>
      <c r="C2" s="56" t="str">
        <f>IF(C1="Principal","iz/kkukpk;Z","iz/kkuk/;kid")</f>
        <v>iz/kkukpk;Z</v>
      </c>
      <c r="D2" s="525" t="s">
        <v>682</v>
      </c>
      <c r="E2" s="525"/>
      <c r="F2" s="525"/>
      <c r="G2" s="525"/>
      <c r="H2" s="525"/>
      <c r="I2" s="526"/>
      <c r="J2" s="43"/>
      <c r="K2" s="43"/>
      <c r="L2" s="75"/>
      <c r="M2" s="75"/>
      <c r="N2" s="75"/>
    </row>
    <row r="3" spans="1:75" ht="20.25">
      <c r="A3" s="575" t="s">
        <v>3</v>
      </c>
      <c r="B3" s="576"/>
      <c r="C3" s="579">
        <v>30695</v>
      </c>
      <c r="D3" s="579"/>
      <c r="E3" s="29"/>
      <c r="F3" s="29"/>
      <c r="G3" s="29"/>
      <c r="H3" s="29"/>
      <c r="I3" s="30"/>
      <c r="J3" s="43"/>
      <c r="K3" s="43"/>
      <c r="L3" s="75"/>
      <c r="M3" s="75"/>
      <c r="N3" s="75"/>
      <c r="AE3" s="145" t="s">
        <v>274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</row>
    <row r="4" spans="1:75" ht="21" customHeight="1">
      <c r="A4" s="575" t="s">
        <v>4</v>
      </c>
      <c r="B4" s="576"/>
      <c r="C4" s="579" t="s">
        <v>626</v>
      </c>
      <c r="D4" s="579"/>
      <c r="E4" s="29"/>
      <c r="F4" s="29"/>
      <c r="G4" s="29"/>
      <c r="H4" s="29"/>
      <c r="I4" s="30"/>
      <c r="J4" s="43"/>
      <c r="K4" s="43"/>
      <c r="L4" s="75"/>
      <c r="M4" s="75"/>
      <c r="N4" s="75"/>
      <c r="AE4" s="146"/>
      <c r="AF4" s="146"/>
      <c r="AG4" s="146"/>
      <c r="AH4" s="22"/>
      <c r="AI4" s="296" t="s">
        <v>277</v>
      </c>
      <c r="AJ4" s="296" t="s">
        <v>278</v>
      </c>
      <c r="AK4" s="296" t="s">
        <v>279</v>
      </c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</row>
    <row r="5" spans="1:75" ht="21" thickBot="1">
      <c r="A5" s="577" t="s">
        <v>6</v>
      </c>
      <c r="B5" s="578"/>
      <c r="C5" s="527" t="s">
        <v>286</v>
      </c>
      <c r="D5" s="527"/>
      <c r="E5" s="528" t="str">
        <f>VLOOKUP(C5,AI4:AN15,2,FALSE)</f>
        <v>2202-02-109-(01) (STATE FUND)</v>
      </c>
      <c r="F5" s="528"/>
      <c r="G5" s="528"/>
      <c r="H5" s="528"/>
      <c r="I5" s="529"/>
      <c r="J5" s="43"/>
      <c r="K5" s="43"/>
      <c r="L5" s="75"/>
      <c r="M5" s="75"/>
      <c r="N5" s="75"/>
      <c r="AE5" s="146"/>
      <c r="AF5" s="146"/>
      <c r="AG5" s="146"/>
      <c r="AH5" s="22"/>
      <c r="AI5" s="296" t="s">
        <v>7</v>
      </c>
      <c r="AJ5" s="296" t="s">
        <v>275</v>
      </c>
      <c r="AK5" s="296" t="s">
        <v>276</v>
      </c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</row>
    <row r="6" spans="1:75" ht="29.25" thickTop="1" thickBot="1">
      <c r="A6" s="580" t="s">
        <v>103</v>
      </c>
      <c r="B6" s="580"/>
      <c r="C6" s="580"/>
      <c r="D6" s="580"/>
      <c r="E6" s="580"/>
      <c r="F6" s="580"/>
      <c r="G6" s="580"/>
      <c r="H6" s="580"/>
      <c r="I6" s="580"/>
      <c r="J6" s="44"/>
      <c r="K6" s="44"/>
      <c r="L6" s="75"/>
      <c r="M6" s="75"/>
      <c r="N6" s="75"/>
      <c r="AE6" s="146"/>
      <c r="AF6" s="146"/>
      <c r="AG6" s="146"/>
      <c r="AH6" s="22"/>
      <c r="AI6" s="296" t="s">
        <v>280</v>
      </c>
      <c r="AJ6" s="296" t="s">
        <v>281</v>
      </c>
      <c r="AK6" s="296" t="s">
        <v>282</v>
      </c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</row>
    <row r="7" spans="1:75" ht="19.5" thickTop="1">
      <c r="A7" s="558" t="s">
        <v>8</v>
      </c>
      <c r="B7" s="560" t="s">
        <v>9</v>
      </c>
      <c r="C7" s="560" t="s">
        <v>10</v>
      </c>
      <c r="D7" s="562" t="s">
        <v>11</v>
      </c>
      <c r="E7" s="562"/>
      <c r="F7" s="562"/>
      <c r="G7" s="562"/>
      <c r="H7" s="562"/>
      <c r="I7" s="563"/>
      <c r="J7" s="43"/>
      <c r="K7" s="43"/>
      <c r="L7" s="75"/>
      <c r="M7" s="75"/>
      <c r="N7" s="75"/>
      <c r="AE7" s="146"/>
      <c r="AF7" s="146"/>
      <c r="AG7" s="146"/>
      <c r="AH7" s="22"/>
      <c r="AI7" s="296" t="s">
        <v>283</v>
      </c>
      <c r="AJ7" s="296" t="s">
        <v>284</v>
      </c>
      <c r="AK7" s="296" t="s">
        <v>285</v>
      </c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</row>
    <row r="8" spans="1:75">
      <c r="A8" s="559"/>
      <c r="B8" s="561"/>
      <c r="C8" s="561"/>
      <c r="D8" s="31" t="str">
        <f>CONCATENATE((MID(Master!C4,1,4)-3),"-",(MID(Master!C4,6,2)-3))</f>
        <v>2016-17</v>
      </c>
      <c r="E8" s="31" t="str">
        <f>CONCATENATE((MID(Master!C4,1,4)-2),"-",(MID(Master!C4,6,2)-2))</f>
        <v>2017-18</v>
      </c>
      <c r="F8" s="572" t="str">
        <f>CONCATENATE((MID(Master!C4,1,4)-1),"-",(MID(Master!C4,6,2)-1))</f>
        <v>2018-19</v>
      </c>
      <c r="G8" s="572"/>
      <c r="H8" s="572"/>
      <c r="I8" s="32" t="str">
        <f>CONCATENATE((MID(Master!C4,1,4)),"-",(MID(Master!C4,6,2)))</f>
        <v>2019-20</v>
      </c>
      <c r="J8" s="45"/>
      <c r="K8" s="45"/>
      <c r="L8" s="75"/>
      <c r="M8" s="75"/>
      <c r="N8" s="75"/>
      <c r="AE8" s="146"/>
      <c r="AF8" s="146"/>
      <c r="AG8" s="146"/>
      <c r="AH8" s="22"/>
      <c r="AI8" s="296" t="s">
        <v>286</v>
      </c>
      <c r="AJ8" s="296" t="s">
        <v>287</v>
      </c>
      <c r="AK8" s="296" t="s">
        <v>288</v>
      </c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</row>
    <row r="9" spans="1:75" ht="31.5">
      <c r="A9" s="559"/>
      <c r="B9" s="561"/>
      <c r="C9" s="31" t="str">
        <f>CONCATENATE((MID(Master!C4,1,4)),"-",(MID(Master!C4,6,2)))</f>
        <v>2019-20</v>
      </c>
      <c r="D9" s="33" t="str">
        <f>CONCATENATE("vizSy ",(MID(D8,3,2))," ls ekpZ ",(MID(D8,3,2)+1)," rd")</f>
        <v>vizSy 16 ls ekpZ 17 rd</v>
      </c>
      <c r="E9" s="33" t="str">
        <f>CONCATENATE("vizSy ",(MID(E8,3,2))," ls ekpZ ",(MID(E8,3,2)+1)," rd")</f>
        <v>vizSy 17 ls ekpZ 18 rd</v>
      </c>
      <c r="F9" s="33" t="str">
        <f>CONCATENATE("vizSy ",(MID(F8,3,2))," ls tqykbZZ ",(MID(F8,3,2))," rd")</f>
        <v>vizSy 18 ls tqykbZZ 18 rd</v>
      </c>
      <c r="G9" s="33" t="str">
        <f>CONCATENATE("vxLr ",(MID(F8,3,2))," ls ekpZ ",(MID(F8,3,2)+1)," rd")</f>
        <v>vxLr 18 ls ekpZ 19 rd</v>
      </c>
      <c r="H9" s="33" t="str">
        <f>CONCATENATE("vizSy ",(MID(F8,3,2))," ls ekpZ ",(MID(F8,3,2)+1)," rd")</f>
        <v>vizSy 18 ls ekpZ 19 rd</v>
      </c>
      <c r="I9" s="34" t="str">
        <f>CONCATENATE("vizSy ",(MID(I8,3,2))," ls tqykbZ ",(MID(I8,3,2))," rd")</f>
        <v>vizSy 19 ls tqykbZ 19 rd</v>
      </c>
      <c r="J9" s="45"/>
      <c r="K9" s="45"/>
      <c r="L9" s="75"/>
      <c r="M9" s="75"/>
      <c r="N9" s="75"/>
      <c r="AE9" s="146"/>
      <c r="AF9" s="146"/>
      <c r="AG9" s="146"/>
      <c r="AH9" s="22"/>
      <c r="AI9" s="296" t="s">
        <v>289</v>
      </c>
      <c r="AJ9" s="296" t="s">
        <v>290</v>
      </c>
      <c r="AK9" s="296" t="s">
        <v>291</v>
      </c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</row>
    <row r="10" spans="1:75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5">
        <v>9</v>
      </c>
      <c r="J10" s="45"/>
      <c r="K10" s="45"/>
      <c r="L10" s="75"/>
      <c r="M10" s="75"/>
      <c r="N10" s="75"/>
      <c r="AE10" s="146"/>
      <c r="AF10" s="146"/>
      <c r="AG10" s="146"/>
      <c r="AH10" s="22"/>
      <c r="AI10" s="296" t="s">
        <v>292</v>
      </c>
      <c r="AJ10" s="296" t="s">
        <v>293</v>
      </c>
      <c r="AK10" s="296" t="s">
        <v>294</v>
      </c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ht="18.75">
      <c r="A11" s="36">
        <v>1</v>
      </c>
      <c r="B11" s="35" t="s">
        <v>12</v>
      </c>
      <c r="C11" s="53">
        <v>9820000</v>
      </c>
      <c r="D11" s="53">
        <v>8513603</v>
      </c>
      <c r="E11" s="53">
        <v>7033738</v>
      </c>
      <c r="F11" s="53">
        <v>2643267</v>
      </c>
      <c r="G11" s="53">
        <v>6705337</v>
      </c>
      <c r="H11" s="41">
        <f>SUM(F11:G11)</f>
        <v>9348604</v>
      </c>
      <c r="I11" s="54">
        <v>3407270</v>
      </c>
      <c r="J11" s="46"/>
      <c r="K11" s="45"/>
      <c r="L11" s="75"/>
      <c r="M11" s="75"/>
      <c r="N11" s="75"/>
      <c r="AE11" s="146"/>
      <c r="AF11" s="146"/>
      <c r="AG11" s="146"/>
      <c r="AH11" s="22"/>
      <c r="AI11" s="296" t="s">
        <v>295</v>
      </c>
      <c r="AJ11" s="296" t="s">
        <v>296</v>
      </c>
      <c r="AK11" s="296" t="s">
        <v>297</v>
      </c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</row>
    <row r="12" spans="1:75" ht="18.75">
      <c r="A12" s="36">
        <v>2</v>
      </c>
      <c r="B12" s="35" t="s">
        <v>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41">
        <f>SUM(F12:G12)</f>
        <v>0</v>
      </c>
      <c r="I12" s="54">
        <v>0</v>
      </c>
      <c r="J12" s="46"/>
      <c r="K12" s="45"/>
      <c r="L12" s="75"/>
      <c r="M12" s="75"/>
      <c r="N12" s="75"/>
      <c r="AE12" s="146"/>
      <c r="AF12" s="146"/>
      <c r="AG12" s="146"/>
      <c r="AH12" s="22"/>
      <c r="AI12" s="296" t="s">
        <v>298</v>
      </c>
      <c r="AJ12" s="296" t="s">
        <v>299</v>
      </c>
      <c r="AK12" s="296" t="s">
        <v>300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</row>
    <row r="13" spans="1:75" ht="18.75">
      <c r="A13" s="36">
        <v>3</v>
      </c>
      <c r="B13" s="35" t="s">
        <v>14</v>
      </c>
      <c r="C13" s="53">
        <v>0</v>
      </c>
      <c r="D13" s="53">
        <v>0</v>
      </c>
      <c r="E13" s="53">
        <v>201175</v>
      </c>
      <c r="F13" s="53">
        <v>0</v>
      </c>
      <c r="G13" s="53">
        <v>0</v>
      </c>
      <c r="H13" s="41">
        <f>SUM(F13:G13)</f>
        <v>0</v>
      </c>
      <c r="I13" s="54">
        <v>0</v>
      </c>
      <c r="J13" s="47"/>
      <c r="K13" s="297"/>
      <c r="L13" s="75"/>
      <c r="M13" s="75"/>
      <c r="N13" s="75"/>
      <c r="AE13" s="146"/>
      <c r="AF13" s="146"/>
      <c r="AG13" s="146"/>
      <c r="AH13" s="22"/>
      <c r="AI13" s="296" t="s">
        <v>301</v>
      </c>
      <c r="AJ13" s="296" t="s">
        <v>302</v>
      </c>
      <c r="AK13" s="296" t="s">
        <v>303</v>
      </c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ht="18.75">
      <c r="A14" s="8"/>
      <c r="B14" s="38" t="s">
        <v>15</v>
      </c>
      <c r="C14" s="9">
        <f>SUM(C11:C13)</f>
        <v>9820000</v>
      </c>
      <c r="D14" s="9">
        <f t="shared" ref="D14:I14" si="0">SUM(D11:D13)</f>
        <v>8513603</v>
      </c>
      <c r="E14" s="9">
        <f t="shared" si="0"/>
        <v>7234913</v>
      </c>
      <c r="F14" s="9">
        <f t="shared" si="0"/>
        <v>2643267</v>
      </c>
      <c r="G14" s="9">
        <f t="shared" si="0"/>
        <v>6705337</v>
      </c>
      <c r="H14" s="9">
        <f t="shared" si="0"/>
        <v>9348604</v>
      </c>
      <c r="I14" s="10">
        <f t="shared" si="0"/>
        <v>3407270</v>
      </c>
      <c r="J14" s="47"/>
      <c r="K14" s="43"/>
      <c r="L14" s="75"/>
      <c r="M14" s="75"/>
      <c r="N14" s="75"/>
      <c r="AE14" s="146"/>
      <c r="AF14" s="146"/>
      <c r="AG14" s="146"/>
      <c r="AH14" s="22"/>
      <c r="AI14" s="296" t="s">
        <v>304</v>
      </c>
      <c r="AJ14" s="296" t="s">
        <v>305</v>
      </c>
      <c r="AK14" s="296" t="s">
        <v>306</v>
      </c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ht="18.75">
      <c r="A15" s="11"/>
      <c r="B15" s="40" t="s">
        <v>16</v>
      </c>
      <c r="C15" s="12"/>
      <c r="D15" s="12"/>
      <c r="E15" s="12"/>
      <c r="F15" s="12"/>
      <c r="G15" s="12"/>
      <c r="H15" s="13"/>
      <c r="I15" s="14"/>
      <c r="J15" s="47"/>
      <c r="K15" s="43"/>
      <c r="L15" s="75"/>
      <c r="M15" s="75"/>
      <c r="N15" s="75"/>
      <c r="AE15" s="146"/>
      <c r="AF15" s="146"/>
      <c r="AG15" s="146"/>
      <c r="AH15" s="22"/>
      <c r="AI15" s="296" t="s">
        <v>307</v>
      </c>
      <c r="AJ15" s="296" t="s">
        <v>308</v>
      </c>
      <c r="AK15" s="296" t="s">
        <v>309</v>
      </c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ht="18.75">
      <c r="A16" s="37">
        <v>1</v>
      </c>
      <c r="B16" s="35" t="s">
        <v>17</v>
      </c>
      <c r="C16" s="15">
        <v>0</v>
      </c>
      <c r="D16" s="16">
        <v>0</v>
      </c>
      <c r="E16" s="6">
        <v>0</v>
      </c>
      <c r="F16" s="6">
        <v>0</v>
      </c>
      <c r="G16" s="6">
        <v>0</v>
      </c>
      <c r="H16" s="7">
        <f t="shared" ref="H16:H23" si="1">SUM(F16:G16)</f>
        <v>0</v>
      </c>
      <c r="I16" s="54">
        <v>0</v>
      </c>
      <c r="J16" s="47"/>
      <c r="K16" s="43"/>
      <c r="L16" s="75"/>
      <c r="M16" s="75"/>
      <c r="N16" s="75"/>
      <c r="AI16" s="22"/>
      <c r="AJ16" s="22"/>
      <c r="AK16" s="22"/>
    </row>
    <row r="17" spans="1:14" ht="18.75">
      <c r="A17" s="37">
        <v>2</v>
      </c>
      <c r="B17" s="35" t="s">
        <v>18</v>
      </c>
      <c r="C17" s="15">
        <v>0</v>
      </c>
      <c r="D17" s="16">
        <v>0</v>
      </c>
      <c r="E17" s="6">
        <v>0</v>
      </c>
      <c r="F17" s="6">
        <v>0</v>
      </c>
      <c r="G17" s="6">
        <v>0</v>
      </c>
      <c r="H17" s="7">
        <f t="shared" si="1"/>
        <v>0</v>
      </c>
      <c r="I17" s="54">
        <v>0</v>
      </c>
      <c r="J17" s="47"/>
      <c r="K17" s="43"/>
      <c r="L17" s="75"/>
      <c r="M17" s="75"/>
      <c r="N17" s="75"/>
    </row>
    <row r="18" spans="1:14" ht="18.75">
      <c r="A18" s="37">
        <v>3</v>
      </c>
      <c r="B18" s="35" t="s">
        <v>19</v>
      </c>
      <c r="C18" s="15">
        <v>0</v>
      </c>
      <c r="D18" s="16">
        <v>0</v>
      </c>
      <c r="E18" s="6">
        <v>0</v>
      </c>
      <c r="F18" s="6">
        <v>0</v>
      </c>
      <c r="G18" s="6">
        <v>0</v>
      </c>
      <c r="H18" s="7">
        <f t="shared" si="1"/>
        <v>0</v>
      </c>
      <c r="I18" s="54">
        <v>0</v>
      </c>
      <c r="J18" s="47"/>
      <c r="K18" s="43"/>
      <c r="L18" s="75"/>
      <c r="M18" s="75"/>
      <c r="N18" s="75"/>
    </row>
    <row r="19" spans="1:14" ht="18.75">
      <c r="A19" s="37">
        <v>4</v>
      </c>
      <c r="B19" s="35" t="s">
        <v>20</v>
      </c>
      <c r="C19" s="15">
        <v>0</v>
      </c>
      <c r="D19" s="16">
        <v>0</v>
      </c>
      <c r="E19" s="6">
        <v>0</v>
      </c>
      <c r="F19" s="6">
        <v>0</v>
      </c>
      <c r="G19" s="6">
        <v>0</v>
      </c>
      <c r="H19" s="7">
        <f t="shared" si="1"/>
        <v>0</v>
      </c>
      <c r="I19" s="54">
        <v>0</v>
      </c>
      <c r="J19" s="47"/>
      <c r="K19" s="43"/>
      <c r="L19" s="75"/>
      <c r="M19" s="75"/>
      <c r="N19" s="75"/>
    </row>
    <row r="20" spans="1:14" ht="18.75">
      <c r="A20" s="37">
        <v>5</v>
      </c>
      <c r="B20" s="35" t="s">
        <v>21</v>
      </c>
      <c r="C20" s="15">
        <v>0</v>
      </c>
      <c r="D20" s="16">
        <v>0</v>
      </c>
      <c r="E20" s="6">
        <v>0</v>
      </c>
      <c r="F20" s="6">
        <v>0</v>
      </c>
      <c r="G20" s="6">
        <v>0</v>
      </c>
      <c r="H20" s="7">
        <f t="shared" si="1"/>
        <v>0</v>
      </c>
      <c r="I20" s="54">
        <v>0</v>
      </c>
      <c r="J20" s="47"/>
      <c r="K20" s="43"/>
      <c r="L20" s="75"/>
      <c r="M20" s="75"/>
      <c r="N20" s="75"/>
    </row>
    <row r="21" spans="1:14" ht="18.75">
      <c r="A21" s="37">
        <v>6</v>
      </c>
      <c r="B21" s="35" t="s">
        <v>22</v>
      </c>
      <c r="C21" s="15">
        <v>2500</v>
      </c>
      <c r="D21" s="16">
        <v>2485</v>
      </c>
      <c r="E21" s="6">
        <v>2500</v>
      </c>
      <c r="F21" s="6">
        <v>0</v>
      </c>
      <c r="G21" s="6">
        <v>2500</v>
      </c>
      <c r="H21" s="7">
        <f t="shared" si="1"/>
        <v>2500</v>
      </c>
      <c r="I21" s="54">
        <v>0</v>
      </c>
      <c r="J21" s="47"/>
      <c r="K21" s="43"/>
      <c r="L21" s="75"/>
      <c r="M21" s="75"/>
      <c r="N21" s="75"/>
    </row>
    <row r="22" spans="1:14" ht="18.75">
      <c r="A22" s="37">
        <v>7</v>
      </c>
      <c r="B22" s="35" t="s">
        <v>23</v>
      </c>
      <c r="C22" s="15">
        <v>0</v>
      </c>
      <c r="D22" s="16">
        <v>0</v>
      </c>
      <c r="E22" s="6">
        <v>0</v>
      </c>
      <c r="F22" s="6">
        <v>0</v>
      </c>
      <c r="G22" s="6">
        <v>0</v>
      </c>
      <c r="H22" s="7">
        <f t="shared" si="1"/>
        <v>0</v>
      </c>
      <c r="I22" s="54">
        <v>0</v>
      </c>
      <c r="J22" s="47"/>
      <c r="K22" s="43"/>
      <c r="L22" s="75"/>
      <c r="M22" s="75"/>
      <c r="N22" s="75"/>
    </row>
    <row r="23" spans="1:14" ht="18.75">
      <c r="A23" s="37">
        <v>8</v>
      </c>
      <c r="B23" s="35" t="s">
        <v>24</v>
      </c>
      <c r="C23" s="15">
        <v>0</v>
      </c>
      <c r="D23" s="16">
        <v>0</v>
      </c>
      <c r="E23" s="6">
        <v>0</v>
      </c>
      <c r="F23" s="6">
        <v>0</v>
      </c>
      <c r="G23" s="6">
        <v>0</v>
      </c>
      <c r="H23" s="7">
        <f t="shared" si="1"/>
        <v>0</v>
      </c>
      <c r="I23" s="54">
        <v>0</v>
      </c>
      <c r="J23" s="46"/>
      <c r="K23" s="45"/>
      <c r="L23" s="75"/>
      <c r="M23" s="75"/>
      <c r="N23" s="75"/>
    </row>
    <row r="24" spans="1:14" ht="18.75">
      <c r="A24" s="11"/>
      <c r="B24" s="38" t="s">
        <v>25</v>
      </c>
      <c r="C24" s="13">
        <f>SUM(C16:C23)</f>
        <v>2500</v>
      </c>
      <c r="D24" s="13">
        <f t="shared" ref="D24:I24" si="2">SUM(D16:D23)</f>
        <v>2485</v>
      </c>
      <c r="E24" s="13">
        <f t="shared" si="2"/>
        <v>2500</v>
      </c>
      <c r="F24" s="13">
        <f t="shared" si="2"/>
        <v>0</v>
      </c>
      <c r="G24" s="13">
        <f t="shared" si="2"/>
        <v>2500</v>
      </c>
      <c r="H24" s="13">
        <f>SUM(H16:H23)</f>
        <v>2500</v>
      </c>
      <c r="I24" s="17">
        <f t="shared" si="2"/>
        <v>0</v>
      </c>
      <c r="J24" s="46"/>
      <c r="K24" s="45"/>
      <c r="L24" s="75"/>
      <c r="M24" s="75"/>
      <c r="N24" s="75"/>
    </row>
    <row r="25" spans="1:14" ht="18.75">
      <c r="A25" s="36">
        <v>1</v>
      </c>
      <c r="B25" s="35" t="s">
        <v>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7">
        <f>SUM(F25:G25)</f>
        <v>0</v>
      </c>
      <c r="I25" s="54">
        <v>0</v>
      </c>
      <c r="J25" s="46"/>
      <c r="K25" s="45"/>
      <c r="L25" s="75"/>
      <c r="M25" s="75"/>
      <c r="N25" s="75"/>
    </row>
    <row r="26" spans="1:14" ht="18.75">
      <c r="A26" s="36">
        <v>2</v>
      </c>
      <c r="B26" s="35" t="s">
        <v>27</v>
      </c>
      <c r="C26" s="53">
        <v>2000</v>
      </c>
      <c r="D26" s="53">
        <v>1200</v>
      </c>
      <c r="E26" s="53">
        <v>1198</v>
      </c>
      <c r="F26" s="53">
        <v>0</v>
      </c>
      <c r="G26" s="53">
        <v>2500</v>
      </c>
      <c r="H26" s="7">
        <f>SUM(F26:G26)</f>
        <v>2500</v>
      </c>
      <c r="I26" s="54">
        <v>0</v>
      </c>
      <c r="J26" s="46"/>
      <c r="K26" s="45"/>
      <c r="L26" s="75"/>
      <c r="M26" s="75"/>
      <c r="N26" s="75"/>
    </row>
    <row r="27" spans="1:14" ht="18.75">
      <c r="A27" s="36">
        <v>3</v>
      </c>
      <c r="B27" s="35" t="s">
        <v>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7">
        <f>SUM(F27:G27)</f>
        <v>0</v>
      </c>
      <c r="I27" s="54">
        <v>0</v>
      </c>
      <c r="J27" s="46"/>
      <c r="K27" s="45"/>
      <c r="L27" s="75"/>
      <c r="M27" s="75"/>
      <c r="N27" s="75"/>
    </row>
    <row r="28" spans="1:14" ht="18.75">
      <c r="A28" s="36">
        <v>4</v>
      </c>
      <c r="B28" s="35" t="s">
        <v>29</v>
      </c>
      <c r="C28" s="53">
        <v>0</v>
      </c>
      <c r="D28" s="53">
        <v>1100</v>
      </c>
      <c r="E28" s="53">
        <v>0</v>
      </c>
      <c r="F28" s="53">
        <v>0</v>
      </c>
      <c r="G28" s="53">
        <v>0</v>
      </c>
      <c r="H28" s="7">
        <f>SUM(F28:G28)</f>
        <v>0</v>
      </c>
      <c r="I28" s="54">
        <v>0</v>
      </c>
      <c r="J28" s="46"/>
      <c r="K28" s="45"/>
      <c r="L28" s="75"/>
      <c r="M28" s="75"/>
      <c r="N28" s="75"/>
    </row>
    <row r="29" spans="1:14" ht="18.75">
      <c r="A29" s="36">
        <v>5</v>
      </c>
      <c r="B29" s="35" t="s">
        <v>30</v>
      </c>
      <c r="C29" s="53">
        <v>3300</v>
      </c>
      <c r="D29" s="53">
        <v>3300</v>
      </c>
      <c r="E29" s="53">
        <v>3300</v>
      </c>
      <c r="F29" s="53">
        <v>0</v>
      </c>
      <c r="G29" s="53">
        <v>3300</v>
      </c>
      <c r="H29" s="7">
        <f>SUM(F29:G29)</f>
        <v>3300</v>
      </c>
      <c r="I29" s="54">
        <v>0</v>
      </c>
      <c r="J29" s="46"/>
      <c r="K29" s="45"/>
      <c r="L29" s="75"/>
      <c r="M29" s="75"/>
      <c r="N29" s="75"/>
    </row>
    <row r="30" spans="1:14" ht="18.75">
      <c r="A30" s="11"/>
      <c r="B30" s="38" t="s">
        <v>31</v>
      </c>
      <c r="C30" s="13">
        <f>SUM(C25:C29)</f>
        <v>5300</v>
      </c>
      <c r="D30" s="13">
        <f t="shared" ref="D30:I30" si="3">SUM(D25:D29)</f>
        <v>5600</v>
      </c>
      <c r="E30" s="13">
        <f t="shared" si="3"/>
        <v>4498</v>
      </c>
      <c r="F30" s="13">
        <f t="shared" si="3"/>
        <v>0</v>
      </c>
      <c r="G30" s="13">
        <f t="shared" si="3"/>
        <v>5800</v>
      </c>
      <c r="H30" s="13">
        <f>SUM(H25:H29)</f>
        <v>5800</v>
      </c>
      <c r="I30" s="17">
        <f t="shared" si="3"/>
        <v>0</v>
      </c>
      <c r="J30" s="46"/>
      <c r="K30" s="45"/>
      <c r="L30" s="75"/>
      <c r="M30" s="75"/>
      <c r="N30" s="75"/>
    </row>
    <row r="31" spans="1:14" ht="18.75">
      <c r="A31" s="11"/>
      <c r="B31" s="38" t="s">
        <v>32</v>
      </c>
      <c r="C31" s="13">
        <f>SUM(C30,C24)</f>
        <v>7800</v>
      </c>
      <c r="D31" s="13">
        <f t="shared" ref="D31:I31" si="4">SUM(D30,D24)</f>
        <v>8085</v>
      </c>
      <c r="E31" s="13">
        <f t="shared" si="4"/>
        <v>6998</v>
      </c>
      <c r="F31" s="13">
        <f t="shared" si="4"/>
        <v>0</v>
      </c>
      <c r="G31" s="13">
        <f t="shared" si="4"/>
        <v>8300</v>
      </c>
      <c r="H31" s="13">
        <f>SUM(H30,H24)</f>
        <v>8300</v>
      </c>
      <c r="I31" s="17">
        <f t="shared" si="4"/>
        <v>0</v>
      </c>
      <c r="J31" s="46"/>
      <c r="K31" s="45"/>
      <c r="L31" s="75"/>
      <c r="M31" s="75"/>
      <c r="N31" s="75"/>
    </row>
    <row r="32" spans="1:14" ht="19.5" thickBot="1">
      <c r="A32" s="18"/>
      <c r="B32" s="39" t="s">
        <v>33</v>
      </c>
      <c r="C32" s="19">
        <f>SUM(C14,C31)</f>
        <v>9827800</v>
      </c>
      <c r="D32" s="19">
        <f t="shared" ref="D32:I32" si="5">SUM(D14,D31)</f>
        <v>8521688</v>
      </c>
      <c r="E32" s="19">
        <f t="shared" si="5"/>
        <v>7241911</v>
      </c>
      <c r="F32" s="19">
        <f t="shared" si="5"/>
        <v>2643267</v>
      </c>
      <c r="G32" s="19">
        <f t="shared" si="5"/>
        <v>6713637</v>
      </c>
      <c r="H32" s="19">
        <f>SUM(H14,H31)</f>
        <v>9356904</v>
      </c>
      <c r="I32" s="20">
        <f t="shared" si="5"/>
        <v>3407270</v>
      </c>
      <c r="J32" s="46"/>
      <c r="K32" s="45"/>
      <c r="L32" s="75"/>
      <c r="M32" s="75"/>
      <c r="N32" s="75"/>
    </row>
    <row r="33" spans="1:14" ht="29.25" thickTop="1" thickBot="1">
      <c r="A33" s="548" t="s">
        <v>102</v>
      </c>
      <c r="B33" s="548"/>
      <c r="C33" s="548"/>
      <c r="D33" s="548"/>
      <c r="E33" s="548"/>
      <c r="F33" s="548"/>
      <c r="G33" s="548"/>
      <c r="H33" s="548"/>
      <c r="I33" s="548"/>
      <c r="J33" s="45"/>
      <c r="K33" s="45"/>
      <c r="L33" s="75"/>
      <c r="M33" s="75"/>
      <c r="N33" s="75"/>
    </row>
    <row r="34" spans="1:14" ht="19.5" thickTop="1">
      <c r="A34" s="558" t="s">
        <v>8</v>
      </c>
      <c r="B34" s="560" t="s">
        <v>9</v>
      </c>
      <c r="C34" s="562" t="s">
        <v>34</v>
      </c>
      <c r="D34" s="562"/>
      <c r="E34" s="562"/>
      <c r="F34" s="562"/>
      <c r="G34" s="562"/>
      <c r="H34" s="562"/>
      <c r="I34" s="563"/>
      <c r="J34" s="45"/>
      <c r="K34" s="45"/>
      <c r="L34" s="75"/>
      <c r="M34" s="75"/>
      <c r="N34" s="75"/>
    </row>
    <row r="35" spans="1:14">
      <c r="A35" s="559"/>
      <c r="B35" s="561"/>
      <c r="C35" s="31" t="str">
        <f>CONCATENATE((MID(Master!C4,1,4)-3),"-",(MID(Master!C4,6,2)-3))</f>
        <v>2016-17</v>
      </c>
      <c r="D35" s="31" t="str">
        <f>CONCATENATE((MID(Master!C4,1,4)-2),"-",(MID(Master!C4,6,2)-2))</f>
        <v>2017-18</v>
      </c>
      <c r="E35" s="564" t="str">
        <f>CONCATENATE((MID(Master!C4,1,4)-1),"-",(MID(Master!C4,6,2)-1))</f>
        <v>2018-19</v>
      </c>
      <c r="F35" s="565"/>
      <c r="G35" s="566"/>
      <c r="H35" s="564" t="str">
        <f>CONCATENATE((MID(Master!C4,1,4)),"-",(MID(Master!C4,6,2)))</f>
        <v>2019-20</v>
      </c>
      <c r="I35" s="567"/>
      <c r="J35" s="45"/>
      <c r="K35" s="45"/>
      <c r="L35" s="75"/>
      <c r="M35" s="75"/>
      <c r="N35" s="75"/>
    </row>
    <row r="36" spans="1:14" ht="31.5">
      <c r="A36" s="559"/>
      <c r="B36" s="561"/>
      <c r="C36" s="33" t="str">
        <f>CONCATENATE("vizSy ",(MID(C35,3,2))," ls ekpZ ",(MID(C35,3,2)+1)," rd")</f>
        <v>vizSy 16 ls ekpZ 17 rd</v>
      </c>
      <c r="D36" s="33" t="str">
        <f>CONCATENATE("vizSy ",(MID(D35,3,2))," ls ekpZ ",(MID(D35,3,2)+1)," rd")</f>
        <v>vizSy 17 ls ekpZ 18 rd</v>
      </c>
      <c r="E36" s="33" t="str">
        <f>CONCATENATE("vizSy ",(MID(E35,3,2))," ls tqykbZZ ",(MID(E35,3,2))," rd")</f>
        <v>vizSy 18 ls tqykbZZ 18 rd</v>
      </c>
      <c r="F36" s="33" t="str">
        <f>CONCATENATE("vxLr ",(MID(E35,3,2))," ls ekpZ ",(MID(E35,3,2)+1)," rd")</f>
        <v>vxLr 18 ls ekpZ 19 rd</v>
      </c>
      <c r="G36" s="33" t="str">
        <f>CONCATENATE("vizSy ",(MID(E35,3,2))," ls ekpZ ",(MID(E35,3,2)+1)," rd")</f>
        <v>vizSy 18 ls ekpZ 19 rd</v>
      </c>
      <c r="H36" s="568" t="str">
        <f>CONCATENATE("vizSy ",(MID(H35,3,2))," ls tqykbZ ",(MID(H35,3,2))," rd")</f>
        <v>vizSy 19 ls tqykbZ 19 rd</v>
      </c>
      <c r="I36" s="569"/>
      <c r="J36" s="45"/>
      <c r="K36" s="45"/>
      <c r="L36" s="75"/>
      <c r="M36" s="75"/>
      <c r="N36" s="75"/>
    </row>
    <row r="37" spans="1:14">
      <c r="A37" s="3">
        <v>1</v>
      </c>
      <c r="B37" s="4">
        <v>2</v>
      </c>
      <c r="C37" s="4">
        <v>4</v>
      </c>
      <c r="D37" s="4">
        <v>5</v>
      </c>
      <c r="E37" s="4">
        <v>6</v>
      </c>
      <c r="F37" s="4">
        <v>7</v>
      </c>
      <c r="G37" s="4">
        <v>8</v>
      </c>
      <c r="H37" s="570">
        <v>9</v>
      </c>
      <c r="I37" s="571"/>
      <c r="J37" s="45"/>
      <c r="K37" s="45"/>
      <c r="L37" s="75"/>
      <c r="M37" s="75"/>
      <c r="N37" s="75"/>
    </row>
    <row r="38" spans="1:14" ht="18.75">
      <c r="A38" s="36">
        <v>1</v>
      </c>
      <c r="B38" s="35" t="s">
        <v>35</v>
      </c>
      <c r="C38" s="53">
        <v>3380</v>
      </c>
      <c r="D38" s="53">
        <v>2505</v>
      </c>
      <c r="E38" s="53">
        <v>0</v>
      </c>
      <c r="F38" s="53">
        <f>1660+75</f>
        <v>1735</v>
      </c>
      <c r="G38" s="41">
        <f>SUM(E38:F38)</f>
        <v>1735</v>
      </c>
      <c r="H38" s="556">
        <v>0</v>
      </c>
      <c r="I38" s="557"/>
      <c r="J38" s="45"/>
      <c r="K38" s="45"/>
      <c r="L38" s="75"/>
      <c r="M38" s="75"/>
      <c r="N38" s="75"/>
    </row>
    <row r="39" spans="1:14" ht="18.75">
      <c r="A39" s="36">
        <v>2</v>
      </c>
      <c r="B39" s="35" t="s">
        <v>36</v>
      </c>
      <c r="C39" s="53">
        <v>0</v>
      </c>
      <c r="D39" s="53">
        <v>0</v>
      </c>
      <c r="E39" s="53">
        <v>0</v>
      </c>
      <c r="F39" s="53">
        <v>0</v>
      </c>
      <c r="G39" s="41">
        <f>SUM(E39:F39)</f>
        <v>0</v>
      </c>
      <c r="H39" s="556">
        <v>0</v>
      </c>
      <c r="I39" s="557"/>
      <c r="J39" s="45"/>
      <c r="K39" s="45"/>
      <c r="L39" s="75"/>
      <c r="M39" s="75"/>
      <c r="N39" s="75"/>
    </row>
    <row r="40" spans="1:14" ht="18.75">
      <c r="A40" s="36">
        <v>3</v>
      </c>
      <c r="B40" s="35" t="s">
        <v>37</v>
      </c>
      <c r="C40" s="53">
        <v>0</v>
      </c>
      <c r="D40" s="53">
        <v>0</v>
      </c>
      <c r="E40" s="53">
        <v>0</v>
      </c>
      <c r="F40" s="53">
        <v>0</v>
      </c>
      <c r="G40" s="41">
        <f>SUM(E40:F40)</f>
        <v>0</v>
      </c>
      <c r="H40" s="556">
        <v>0</v>
      </c>
      <c r="I40" s="557"/>
      <c r="J40" s="45"/>
      <c r="K40" s="45"/>
      <c r="L40" s="75"/>
      <c r="M40" s="75"/>
      <c r="N40" s="75"/>
    </row>
    <row r="41" spans="1:14" ht="18.75">
      <c r="A41" s="36">
        <v>4</v>
      </c>
      <c r="B41" s="35" t="s">
        <v>38</v>
      </c>
      <c r="C41" s="53">
        <v>0</v>
      </c>
      <c r="D41" s="53">
        <v>0</v>
      </c>
      <c r="E41" s="53">
        <v>0</v>
      </c>
      <c r="F41" s="53">
        <v>0</v>
      </c>
      <c r="G41" s="41">
        <f>SUM(E41:F41)</f>
        <v>0</v>
      </c>
      <c r="H41" s="556">
        <v>0</v>
      </c>
      <c r="I41" s="557"/>
      <c r="J41" s="45"/>
      <c r="K41" s="45"/>
      <c r="L41" s="75"/>
      <c r="M41" s="75"/>
      <c r="N41" s="75"/>
    </row>
    <row r="42" spans="1:14" ht="18.75">
      <c r="A42" s="36">
        <v>5</v>
      </c>
      <c r="B42" s="35" t="s">
        <v>39</v>
      </c>
      <c r="C42" s="53">
        <v>0</v>
      </c>
      <c r="D42" s="53">
        <v>0</v>
      </c>
      <c r="E42" s="53">
        <v>0</v>
      </c>
      <c r="F42" s="53">
        <v>0</v>
      </c>
      <c r="G42" s="41">
        <f>SUM(E42:F42)</f>
        <v>0</v>
      </c>
      <c r="H42" s="556">
        <v>0</v>
      </c>
      <c r="I42" s="557"/>
      <c r="J42" s="45"/>
      <c r="K42" s="45"/>
      <c r="L42" s="75"/>
      <c r="M42" s="75"/>
      <c r="N42" s="75"/>
    </row>
    <row r="43" spans="1:14" ht="19.5" thickBot="1">
      <c r="A43" s="21"/>
      <c r="B43" s="42" t="s">
        <v>40</v>
      </c>
      <c r="C43" s="19">
        <f t="shared" ref="C43:H43" si="6">SUM(C38:C42)</f>
        <v>3380</v>
      </c>
      <c r="D43" s="19">
        <f t="shared" si="6"/>
        <v>2505</v>
      </c>
      <c r="E43" s="19">
        <f t="shared" si="6"/>
        <v>0</v>
      </c>
      <c r="F43" s="19">
        <f t="shared" si="6"/>
        <v>1735</v>
      </c>
      <c r="G43" s="19">
        <f t="shared" si="6"/>
        <v>1735</v>
      </c>
      <c r="H43" s="546">
        <f t="shared" si="6"/>
        <v>0</v>
      </c>
      <c r="I43" s="547"/>
      <c r="J43" s="45"/>
      <c r="K43" s="45"/>
      <c r="L43" s="75"/>
      <c r="M43" s="75"/>
      <c r="N43" s="75"/>
    </row>
    <row r="44" spans="1:14" ht="5.25" customHeight="1" thickTop="1">
      <c r="A44" s="43"/>
      <c r="B44" s="43"/>
      <c r="C44" s="43"/>
      <c r="D44" s="43"/>
      <c r="E44" s="43"/>
      <c r="F44" s="43"/>
      <c r="G44" s="43"/>
      <c r="H44" s="43"/>
      <c r="I44" s="43"/>
      <c r="J44" s="45"/>
      <c r="K44" s="45"/>
      <c r="L44" s="75"/>
      <c r="M44" s="75"/>
      <c r="N44" s="75"/>
    </row>
    <row r="45" spans="1:14" ht="29.25" thickBot="1">
      <c r="A45" s="548" t="s">
        <v>101</v>
      </c>
      <c r="B45" s="548"/>
      <c r="C45" s="548"/>
      <c r="D45" s="548"/>
      <c r="E45" s="548"/>
      <c r="F45" s="548"/>
      <c r="G45" s="548"/>
      <c r="H45" s="548"/>
      <c r="I45" s="548"/>
      <c r="J45" s="61"/>
      <c r="K45" s="61"/>
      <c r="L45" s="75"/>
      <c r="M45" s="75"/>
      <c r="N45" s="75"/>
    </row>
    <row r="46" spans="1:14" ht="16.5" thickTop="1">
      <c r="A46" s="549" t="s">
        <v>41</v>
      </c>
      <c r="B46" s="551" t="s">
        <v>630</v>
      </c>
      <c r="C46" s="552"/>
      <c r="D46" s="552"/>
      <c r="E46" s="553"/>
      <c r="F46" s="554" t="s">
        <v>629</v>
      </c>
      <c r="G46" s="551" t="s">
        <v>627</v>
      </c>
      <c r="H46" s="552"/>
      <c r="I46" s="552"/>
      <c r="J46" s="553"/>
      <c r="K46" s="538" t="s">
        <v>628</v>
      </c>
      <c r="L46" s="75"/>
      <c r="M46" s="75"/>
      <c r="N46" s="75"/>
    </row>
    <row r="47" spans="1:14" ht="15.75">
      <c r="A47" s="550"/>
      <c r="B47" s="540" t="s">
        <v>42</v>
      </c>
      <c r="C47" s="541"/>
      <c r="D47" s="540" t="s">
        <v>43</v>
      </c>
      <c r="E47" s="541"/>
      <c r="F47" s="555"/>
      <c r="G47" s="540" t="s">
        <v>42</v>
      </c>
      <c r="H47" s="541"/>
      <c r="I47" s="540" t="s">
        <v>43</v>
      </c>
      <c r="J47" s="541"/>
      <c r="K47" s="539"/>
      <c r="L47" s="75"/>
      <c r="M47" s="75"/>
      <c r="N47" s="75"/>
    </row>
    <row r="48" spans="1:14" ht="15.75">
      <c r="A48" s="550"/>
      <c r="B48" s="23" t="s">
        <v>44</v>
      </c>
      <c r="C48" s="23" t="s">
        <v>45</v>
      </c>
      <c r="D48" s="23" t="s">
        <v>44</v>
      </c>
      <c r="E48" s="23" t="s">
        <v>45</v>
      </c>
      <c r="F48" s="555"/>
      <c r="G48" s="23" t="s">
        <v>44</v>
      </c>
      <c r="H48" s="23" t="s">
        <v>45</v>
      </c>
      <c r="I48" s="23" t="s">
        <v>44</v>
      </c>
      <c r="J48" s="23" t="s">
        <v>45</v>
      </c>
      <c r="K48" s="539"/>
      <c r="L48" s="75"/>
      <c r="M48" s="75"/>
      <c r="N48" s="75"/>
    </row>
    <row r="49" spans="1:108" ht="18.75">
      <c r="A49" s="49" t="s">
        <v>46</v>
      </c>
      <c r="B49" s="52">
        <v>97</v>
      </c>
      <c r="C49" s="50">
        <f>B49*10</f>
        <v>970</v>
      </c>
      <c r="D49" s="52">
        <v>2</v>
      </c>
      <c r="E49" s="50">
        <f>D49*5</f>
        <v>10</v>
      </c>
      <c r="F49" s="51">
        <f>SUM(C49,E49)</f>
        <v>980</v>
      </c>
      <c r="G49" s="52">
        <v>102</v>
      </c>
      <c r="H49" s="50">
        <f>G49*10</f>
        <v>1020</v>
      </c>
      <c r="I49" s="52">
        <v>5</v>
      </c>
      <c r="J49" s="50">
        <f>I49*5</f>
        <v>25</v>
      </c>
      <c r="K49" s="57">
        <f>SUM(H49,J49)</f>
        <v>1045</v>
      </c>
      <c r="L49" s="75"/>
      <c r="M49" s="75"/>
      <c r="N49" s="75"/>
    </row>
    <row r="50" spans="1:108" ht="18.75">
      <c r="A50" s="49" t="s">
        <v>47</v>
      </c>
      <c r="B50" s="52">
        <v>10</v>
      </c>
      <c r="C50" s="50">
        <f>B50*10</f>
        <v>100</v>
      </c>
      <c r="D50" s="52">
        <v>13</v>
      </c>
      <c r="E50" s="50">
        <f>D50*5</f>
        <v>65</v>
      </c>
      <c r="F50" s="51">
        <f>SUM(C50,E50)</f>
        <v>165</v>
      </c>
      <c r="G50" s="52">
        <v>11</v>
      </c>
      <c r="H50" s="50">
        <f>G50*10</f>
        <v>110</v>
      </c>
      <c r="I50" s="52">
        <v>16</v>
      </c>
      <c r="J50" s="50">
        <f>I50*5</f>
        <v>80</v>
      </c>
      <c r="K50" s="57">
        <f>SUM(H50,J50)</f>
        <v>190</v>
      </c>
      <c r="L50" s="75"/>
      <c r="M50" s="75"/>
      <c r="N50" s="75"/>
    </row>
    <row r="51" spans="1:108" ht="18.75">
      <c r="A51" s="49" t="s">
        <v>48</v>
      </c>
      <c r="B51" s="52">
        <v>7</v>
      </c>
      <c r="C51" s="50">
        <f>B51*10</f>
        <v>70</v>
      </c>
      <c r="D51" s="52">
        <v>0</v>
      </c>
      <c r="E51" s="50">
        <f>D51*5</f>
        <v>0</v>
      </c>
      <c r="F51" s="51">
        <f>SUM(C51,E51)</f>
        <v>70</v>
      </c>
      <c r="G51" s="52">
        <v>4</v>
      </c>
      <c r="H51" s="50">
        <f>G51*10</f>
        <v>40</v>
      </c>
      <c r="I51" s="52">
        <v>3</v>
      </c>
      <c r="J51" s="50">
        <f>I51*5</f>
        <v>15</v>
      </c>
      <c r="K51" s="57">
        <f>SUM(H51,J51)</f>
        <v>55</v>
      </c>
      <c r="L51" s="75"/>
      <c r="M51" s="75"/>
      <c r="N51" s="75"/>
    </row>
    <row r="52" spans="1:108" ht="18.75">
      <c r="A52" s="49" t="s">
        <v>49</v>
      </c>
      <c r="B52" s="52">
        <v>5</v>
      </c>
      <c r="C52" s="50">
        <f>B52*10</f>
        <v>50</v>
      </c>
      <c r="D52" s="52">
        <v>87</v>
      </c>
      <c r="E52" s="50">
        <f>D52*5</f>
        <v>435</v>
      </c>
      <c r="F52" s="51">
        <f>SUM(C52,E52)</f>
        <v>485</v>
      </c>
      <c r="G52" s="52">
        <v>6</v>
      </c>
      <c r="H52" s="50">
        <f>G52*10</f>
        <v>60</v>
      </c>
      <c r="I52" s="52">
        <v>90</v>
      </c>
      <c r="J52" s="50">
        <f>I52*5</f>
        <v>450</v>
      </c>
      <c r="K52" s="57">
        <f>SUM(H52,J52)</f>
        <v>510</v>
      </c>
      <c r="L52" s="75"/>
      <c r="M52" s="75"/>
      <c r="N52" s="75"/>
    </row>
    <row r="53" spans="1:108" ht="26.25" customHeight="1" thickBot="1">
      <c r="A53" s="48" t="s">
        <v>40</v>
      </c>
      <c r="B53" s="24">
        <f>SUM(B49:B52)</f>
        <v>119</v>
      </c>
      <c r="C53" s="24">
        <f>SUM(C49:C52)</f>
        <v>1190</v>
      </c>
      <c r="D53" s="24">
        <f t="shared" ref="D53:K53" si="7">SUM(D49:D52)</f>
        <v>102</v>
      </c>
      <c r="E53" s="24">
        <f t="shared" si="7"/>
        <v>510</v>
      </c>
      <c r="F53" s="59">
        <f t="shared" si="7"/>
        <v>1700</v>
      </c>
      <c r="G53" s="24">
        <f t="shared" si="7"/>
        <v>123</v>
      </c>
      <c r="H53" s="24">
        <f t="shared" si="7"/>
        <v>1230</v>
      </c>
      <c r="I53" s="24">
        <f t="shared" si="7"/>
        <v>114</v>
      </c>
      <c r="J53" s="24">
        <f t="shared" si="7"/>
        <v>570</v>
      </c>
      <c r="K53" s="58">
        <f t="shared" si="7"/>
        <v>1800</v>
      </c>
      <c r="L53" s="75"/>
      <c r="M53" s="75"/>
      <c r="N53" s="75"/>
    </row>
    <row r="54" spans="1:108" ht="7.5" customHeight="1" thickTop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75"/>
      <c r="M54" s="75"/>
      <c r="N54" s="75"/>
    </row>
    <row r="55" spans="1:108" ht="23.25">
      <c r="A55" s="542" t="s">
        <v>424</v>
      </c>
      <c r="B55" s="542"/>
      <c r="C55" s="542"/>
      <c r="D55" s="542"/>
      <c r="E55" s="542"/>
      <c r="F55" s="542"/>
      <c r="G55" s="542"/>
      <c r="H55" s="542"/>
      <c r="I55" s="542"/>
      <c r="J55" s="542"/>
      <c r="K55" s="542"/>
      <c r="L55" s="75"/>
      <c r="M55" s="75"/>
      <c r="N55" s="75"/>
    </row>
    <row r="56" spans="1:108" ht="3.75" customHeight="1" thickBot="1">
      <c r="A56" s="45"/>
      <c r="B56" s="46"/>
      <c r="C56" s="60"/>
      <c r="D56" s="60"/>
      <c r="E56" s="45"/>
      <c r="F56" s="45"/>
      <c r="G56" s="45"/>
      <c r="H56" s="45"/>
      <c r="I56" s="45"/>
      <c r="J56" s="45"/>
      <c r="K56" s="45"/>
      <c r="L56" s="75"/>
      <c r="M56" s="75"/>
      <c r="N56" s="75"/>
    </row>
    <row r="57" spans="1:108" ht="18" customHeight="1" thickTop="1">
      <c r="A57" s="536" t="s">
        <v>8</v>
      </c>
      <c r="B57" s="543" t="s">
        <v>50</v>
      </c>
      <c r="C57" s="531" t="s">
        <v>51</v>
      </c>
      <c r="D57" s="533" t="s">
        <v>52</v>
      </c>
      <c r="E57" s="531" t="s">
        <v>53</v>
      </c>
      <c r="F57" s="531" t="s">
        <v>54</v>
      </c>
      <c r="G57" s="531" t="s">
        <v>55</v>
      </c>
      <c r="H57" s="531" t="s">
        <v>56</v>
      </c>
      <c r="I57" s="531" t="s">
        <v>57</v>
      </c>
      <c r="J57" s="533" t="s">
        <v>58</v>
      </c>
      <c r="K57" s="534" t="s">
        <v>59</v>
      </c>
      <c r="L57" s="75"/>
      <c r="M57" s="75"/>
      <c r="N57" s="75"/>
      <c r="AE57" s="555" t="s">
        <v>8</v>
      </c>
      <c r="AF57" s="581" t="s">
        <v>64</v>
      </c>
      <c r="AG57" s="582"/>
      <c r="AH57" s="582"/>
      <c r="AI57" s="582"/>
      <c r="AJ57" s="582"/>
      <c r="AK57" s="582"/>
      <c r="AL57" s="582"/>
      <c r="AM57" s="583"/>
      <c r="AN57" s="247"/>
      <c r="AO57" s="247"/>
      <c r="AP57" s="247"/>
      <c r="AQ57" s="247"/>
      <c r="AR57" s="555" t="s">
        <v>8</v>
      </c>
      <c r="AS57" s="581" t="s">
        <v>73</v>
      </c>
      <c r="AT57" s="582"/>
      <c r="AU57" s="582"/>
      <c r="AV57" s="582"/>
      <c r="AW57" s="582"/>
      <c r="AX57" s="582"/>
      <c r="AY57" s="582"/>
      <c r="AZ57" s="583"/>
      <c r="BA57" s="247"/>
      <c r="BB57" s="247"/>
      <c r="BC57" s="247"/>
      <c r="BD57" s="247"/>
      <c r="BE57" s="555" t="s">
        <v>8</v>
      </c>
      <c r="BF57" s="581" t="s">
        <v>373</v>
      </c>
      <c r="BG57" s="582"/>
      <c r="BH57" s="582"/>
      <c r="BI57" s="582"/>
      <c r="BJ57" s="582"/>
      <c r="BK57" s="582"/>
      <c r="BL57" s="582"/>
      <c r="BM57" s="583"/>
      <c r="BN57" s="247"/>
      <c r="BO57" s="247"/>
      <c r="BP57" s="247"/>
      <c r="BQ57" s="247"/>
      <c r="BR57" s="555" t="s">
        <v>8</v>
      </c>
      <c r="BS57" s="584" t="s">
        <v>374</v>
      </c>
      <c r="BT57" s="584"/>
      <c r="BU57" s="584"/>
      <c r="BV57" s="584"/>
      <c r="BW57" s="584"/>
      <c r="BX57" s="584"/>
      <c r="BY57" s="584"/>
      <c r="BZ57" s="584"/>
      <c r="CA57" s="248"/>
      <c r="CB57" s="247"/>
      <c r="CC57" s="247"/>
      <c r="CD57" s="247"/>
      <c r="CE57" s="555" t="s">
        <v>8</v>
      </c>
      <c r="CF57" s="584" t="s">
        <v>376</v>
      </c>
      <c r="CG57" s="584"/>
      <c r="CH57" s="584"/>
      <c r="CI57" s="584"/>
      <c r="CJ57" s="584"/>
      <c r="CK57" s="584"/>
      <c r="CL57" s="584"/>
      <c r="CM57" s="584"/>
      <c r="CN57" s="248"/>
      <c r="CO57" s="247"/>
      <c r="CP57" s="247"/>
      <c r="CQ57" s="247"/>
      <c r="CR57" s="555" t="s">
        <v>8</v>
      </c>
      <c r="CS57" s="584" t="s">
        <v>375</v>
      </c>
      <c r="CT57" s="584"/>
      <c r="CU57" s="584"/>
      <c r="CV57" s="584"/>
      <c r="CW57" s="584"/>
      <c r="CX57" s="584"/>
      <c r="CY57" s="584"/>
      <c r="CZ57" s="584"/>
      <c r="DA57" s="248"/>
      <c r="DB57" s="248"/>
      <c r="DC57" s="249"/>
      <c r="DD57" s="249"/>
    </row>
    <row r="58" spans="1:108" ht="19.5" customHeight="1">
      <c r="A58" s="537"/>
      <c r="B58" s="544"/>
      <c r="C58" s="532"/>
      <c r="D58" s="545"/>
      <c r="E58" s="532"/>
      <c r="F58" s="532"/>
      <c r="G58" s="532"/>
      <c r="H58" s="532"/>
      <c r="I58" s="532"/>
      <c r="J58" s="532"/>
      <c r="K58" s="535"/>
      <c r="L58" s="75"/>
      <c r="M58" s="75"/>
      <c r="N58" s="75"/>
      <c r="AE58" s="555"/>
      <c r="AF58" s="250" t="s">
        <v>50</v>
      </c>
      <c r="AG58" s="251" t="s">
        <v>51</v>
      </c>
      <c r="AH58" s="251" t="s">
        <v>371</v>
      </c>
      <c r="AI58" s="251" t="s">
        <v>53</v>
      </c>
      <c r="AJ58" s="251" t="s">
        <v>54</v>
      </c>
      <c r="AK58" s="251" t="s">
        <v>55</v>
      </c>
      <c r="AL58" s="251" t="s">
        <v>56</v>
      </c>
      <c r="AM58" s="251" t="s">
        <v>57</v>
      </c>
      <c r="AN58" s="251" t="s">
        <v>213</v>
      </c>
      <c r="AO58" s="251"/>
      <c r="AP58" s="251"/>
      <c r="AQ58" s="251"/>
      <c r="AR58" s="555"/>
      <c r="AS58" s="250" t="s">
        <v>50</v>
      </c>
      <c r="AT58" s="251" t="s">
        <v>51</v>
      </c>
      <c r="AU58" s="251" t="s">
        <v>371</v>
      </c>
      <c r="AV58" s="251" t="s">
        <v>53</v>
      </c>
      <c r="AW58" s="251" t="s">
        <v>54</v>
      </c>
      <c r="AX58" s="251" t="s">
        <v>55</v>
      </c>
      <c r="AY58" s="251" t="s">
        <v>56</v>
      </c>
      <c r="AZ58" s="251" t="s">
        <v>57</v>
      </c>
      <c r="BA58" s="251" t="s">
        <v>213</v>
      </c>
      <c r="BB58" s="251"/>
      <c r="BC58" s="251"/>
      <c r="BD58" s="251"/>
      <c r="BE58" s="555"/>
      <c r="BF58" s="250" t="s">
        <v>50</v>
      </c>
      <c r="BG58" s="251" t="s">
        <v>51</v>
      </c>
      <c r="BH58" s="251" t="s">
        <v>371</v>
      </c>
      <c r="BI58" s="251" t="s">
        <v>53</v>
      </c>
      <c r="BJ58" s="251" t="s">
        <v>54</v>
      </c>
      <c r="BK58" s="252" t="s">
        <v>372</v>
      </c>
      <c r="BL58" s="251" t="s">
        <v>56</v>
      </c>
      <c r="BM58" s="251" t="s">
        <v>57</v>
      </c>
      <c r="BN58" s="251" t="s">
        <v>213</v>
      </c>
      <c r="BO58" s="251"/>
      <c r="BP58" s="251"/>
      <c r="BQ58" s="251"/>
      <c r="BR58" s="555"/>
      <c r="BS58" s="250" t="s">
        <v>50</v>
      </c>
      <c r="BT58" s="251" t="s">
        <v>51</v>
      </c>
      <c r="BU58" s="251" t="s">
        <v>371</v>
      </c>
      <c r="BV58" s="251" t="s">
        <v>53</v>
      </c>
      <c r="BW58" s="251" t="s">
        <v>54</v>
      </c>
      <c r="BX58" s="252" t="s">
        <v>372</v>
      </c>
      <c r="BY58" s="251" t="s">
        <v>56</v>
      </c>
      <c r="BZ58" s="251" t="s">
        <v>57</v>
      </c>
      <c r="CA58" s="251" t="s">
        <v>213</v>
      </c>
      <c r="CB58" s="251"/>
      <c r="CC58" s="251"/>
      <c r="CD58" s="251"/>
      <c r="CE58" s="555"/>
      <c r="CF58" s="250" t="s">
        <v>50</v>
      </c>
      <c r="CG58" s="251" t="s">
        <v>51</v>
      </c>
      <c r="CH58" s="251" t="s">
        <v>371</v>
      </c>
      <c r="CI58" s="251" t="s">
        <v>53</v>
      </c>
      <c r="CJ58" s="251" t="s">
        <v>54</v>
      </c>
      <c r="CK58" s="252" t="s">
        <v>372</v>
      </c>
      <c r="CL58" s="251" t="s">
        <v>56</v>
      </c>
      <c r="CM58" s="251" t="s">
        <v>57</v>
      </c>
      <c r="CN58" s="251" t="s">
        <v>213</v>
      </c>
      <c r="CO58" s="251"/>
      <c r="CP58" s="251"/>
      <c r="CQ58" s="251"/>
      <c r="CR58" s="555"/>
      <c r="CS58" s="250" t="s">
        <v>50</v>
      </c>
      <c r="CT58" s="251" t="s">
        <v>51</v>
      </c>
      <c r="CU58" s="251" t="s">
        <v>371</v>
      </c>
      <c r="CV58" s="251" t="s">
        <v>53</v>
      </c>
      <c r="CW58" s="251" t="s">
        <v>54</v>
      </c>
      <c r="CX58" s="252" t="s">
        <v>372</v>
      </c>
      <c r="CY58" s="251" t="s">
        <v>56</v>
      </c>
      <c r="CZ58" s="251" t="s">
        <v>57</v>
      </c>
      <c r="DA58" s="251" t="s">
        <v>213</v>
      </c>
      <c r="DB58" s="251"/>
      <c r="DC58" s="249"/>
      <c r="DD58" s="249"/>
    </row>
    <row r="59" spans="1:108" ht="20.25">
      <c r="A59" s="36">
        <v>1</v>
      </c>
      <c r="B59" s="62" t="s">
        <v>631</v>
      </c>
      <c r="C59" s="63" t="s">
        <v>60</v>
      </c>
      <c r="D59" s="64">
        <v>16</v>
      </c>
      <c r="E59" s="217">
        <v>71300</v>
      </c>
      <c r="F59" s="217" t="s">
        <v>61</v>
      </c>
      <c r="G59" s="218">
        <v>478909</v>
      </c>
      <c r="H59" s="65" t="s">
        <v>62</v>
      </c>
      <c r="I59" s="65" t="s">
        <v>63</v>
      </c>
      <c r="J59" s="65" t="s">
        <v>63</v>
      </c>
      <c r="K59" s="66" t="s">
        <v>64</v>
      </c>
      <c r="L59" s="75"/>
      <c r="M59" s="75"/>
      <c r="N59" s="75"/>
      <c r="AB59" t="str">
        <f>MID(F59,5,4)</f>
        <v>1995</v>
      </c>
      <c r="AC59">
        <f>IF(D59&lt;=0,1,0)*(IF(K59="SANVIDA",0,1))</f>
        <v>0</v>
      </c>
      <c r="AD59">
        <f>IF(AND(AP59=""),"",IF(AP59=0,"",AP59))</f>
        <v>1</v>
      </c>
      <c r="AE59" s="135">
        <v>1</v>
      </c>
      <c r="AF59" s="253" t="str">
        <f t="shared" ref="AF59:AO59" si="8">IF($K59="GAZETTED - REGULAR",B59,0)</f>
        <v>feJhyky</v>
      </c>
      <c r="AG59" s="257" t="str">
        <f t="shared" si="8"/>
        <v>PRINCIPAL</v>
      </c>
      <c r="AH59" s="257">
        <f t="shared" si="8"/>
        <v>16</v>
      </c>
      <c r="AI59" s="257">
        <f t="shared" si="8"/>
        <v>71300</v>
      </c>
      <c r="AJ59" s="257" t="str">
        <f t="shared" si="8"/>
        <v>RJAJ199506021728</v>
      </c>
      <c r="AK59" s="257">
        <f t="shared" si="8"/>
        <v>478909</v>
      </c>
      <c r="AL59" s="257" t="str">
        <f t="shared" si="8"/>
        <v>MALE</v>
      </c>
      <c r="AM59" s="257" t="str">
        <f t="shared" si="8"/>
        <v>NO</v>
      </c>
      <c r="AN59" s="257" t="str">
        <f t="shared" si="8"/>
        <v>NO</v>
      </c>
      <c r="AO59" s="257" t="str">
        <f t="shared" si="8"/>
        <v>GAZETTED - REGULAR</v>
      </c>
      <c r="AP59" s="257">
        <f>IF(AND(K59=""),"",IF(K59=AF$57,1,0))</f>
        <v>1</v>
      </c>
      <c r="AQ59" t="str">
        <f>IF(AND(BC59=""),"",IF(BC59=0,"",BC59))</f>
        <v/>
      </c>
      <c r="AR59" s="135">
        <v>1</v>
      </c>
      <c r="AS59" s="253">
        <f t="shared" ref="AS59:BB59" si="9">IF($K59="NON GAZETTED - REGULAR",B59,0)</f>
        <v>0</v>
      </c>
      <c r="AT59" s="254">
        <f t="shared" si="9"/>
        <v>0</v>
      </c>
      <c r="AU59" s="254">
        <f t="shared" si="9"/>
        <v>0</v>
      </c>
      <c r="AV59" s="254">
        <f t="shared" si="9"/>
        <v>0</v>
      </c>
      <c r="AW59" s="254">
        <f t="shared" si="9"/>
        <v>0</v>
      </c>
      <c r="AX59" s="254">
        <f t="shared" si="9"/>
        <v>0</v>
      </c>
      <c r="AY59" s="254">
        <f t="shared" si="9"/>
        <v>0</v>
      </c>
      <c r="AZ59" s="254">
        <f t="shared" si="9"/>
        <v>0</v>
      </c>
      <c r="BA59" s="254">
        <f t="shared" si="9"/>
        <v>0</v>
      </c>
      <c r="BB59" s="254">
        <f t="shared" si="9"/>
        <v>0</v>
      </c>
      <c r="BC59" s="257">
        <f>IF(AND(K59=""),"",IF(K59=AS$57,1,0))</f>
        <v>0</v>
      </c>
      <c r="BD59" t="str">
        <f>IF(AND(BP59=""),"",IF(BP59=0,"",BP59))</f>
        <v/>
      </c>
      <c r="BE59" s="135">
        <v>1</v>
      </c>
      <c r="BF59" s="253">
        <f t="shared" ref="BF59:BO59" si="10">IF($K59="GAZETTED - FIX PAY",B59,0)</f>
        <v>0</v>
      </c>
      <c r="BG59" s="257">
        <f t="shared" si="10"/>
        <v>0</v>
      </c>
      <c r="BH59" s="257">
        <f t="shared" si="10"/>
        <v>0</v>
      </c>
      <c r="BI59" s="257">
        <f t="shared" si="10"/>
        <v>0</v>
      </c>
      <c r="BJ59" s="257">
        <f t="shared" si="10"/>
        <v>0</v>
      </c>
      <c r="BK59" s="257">
        <f t="shared" si="10"/>
        <v>0</v>
      </c>
      <c r="BL59" s="257">
        <f t="shared" si="10"/>
        <v>0</v>
      </c>
      <c r="BM59" s="257">
        <f t="shared" si="10"/>
        <v>0</v>
      </c>
      <c r="BN59" s="257">
        <f t="shared" si="10"/>
        <v>0</v>
      </c>
      <c r="BO59" s="257">
        <f t="shared" si="10"/>
        <v>0</v>
      </c>
      <c r="BP59" s="257">
        <f>IF(AND(K59=""),"",IF(K59=BF$57,1,0))</f>
        <v>0</v>
      </c>
      <c r="BQ59" t="str">
        <f>IF(AND(CC59=""),"",IF(CC59=0,"",CC59))</f>
        <v/>
      </c>
      <c r="BR59" s="135">
        <v>1</v>
      </c>
      <c r="BS59" s="253">
        <f t="shared" ref="BS59:CB59" si="11">IF($K59="NON GAZETTED - FIX PAY",B59,0)</f>
        <v>0</v>
      </c>
      <c r="BT59" s="257">
        <f t="shared" si="11"/>
        <v>0</v>
      </c>
      <c r="BU59" s="257">
        <f t="shared" si="11"/>
        <v>0</v>
      </c>
      <c r="BV59" s="257">
        <f t="shared" si="11"/>
        <v>0</v>
      </c>
      <c r="BW59" s="257">
        <f t="shared" si="11"/>
        <v>0</v>
      </c>
      <c r="BX59" s="257">
        <f t="shared" si="11"/>
        <v>0</v>
      </c>
      <c r="BY59" s="257">
        <f t="shared" si="11"/>
        <v>0</v>
      </c>
      <c r="BZ59" s="257">
        <f t="shared" si="11"/>
        <v>0</v>
      </c>
      <c r="CA59" s="257">
        <f t="shared" si="11"/>
        <v>0</v>
      </c>
      <c r="CB59" s="257">
        <f t="shared" si="11"/>
        <v>0</v>
      </c>
      <c r="CC59" s="257">
        <f>IF(AND(K59=""),"",IF(K59=BS$57,1,0))</f>
        <v>0</v>
      </c>
      <c r="CD59" t="str">
        <f>IF(AND(CP59=""),"",IF(CP59=0,"",CP59))</f>
        <v/>
      </c>
      <c r="CE59" s="135">
        <v>1</v>
      </c>
      <c r="CF59" s="253">
        <f t="shared" ref="CF59:CO59" si="12">IF($K59="GAZETTED - SANVIDA",B59,0)</f>
        <v>0</v>
      </c>
      <c r="CG59" s="257">
        <f t="shared" si="12"/>
        <v>0</v>
      </c>
      <c r="CH59" s="257">
        <f t="shared" si="12"/>
        <v>0</v>
      </c>
      <c r="CI59" s="257">
        <f t="shared" si="12"/>
        <v>0</v>
      </c>
      <c r="CJ59" s="257">
        <f t="shared" si="12"/>
        <v>0</v>
      </c>
      <c r="CK59" s="257">
        <f t="shared" si="12"/>
        <v>0</v>
      </c>
      <c r="CL59" s="257">
        <f t="shared" si="12"/>
        <v>0</v>
      </c>
      <c r="CM59" s="257">
        <f t="shared" si="12"/>
        <v>0</v>
      </c>
      <c r="CN59" s="257">
        <f t="shared" si="12"/>
        <v>0</v>
      </c>
      <c r="CO59" s="257">
        <f t="shared" si="12"/>
        <v>0</v>
      </c>
      <c r="CP59" s="257">
        <f>IF(AND(K59=""),"",IF(K59=CF$57,1,0))</f>
        <v>0</v>
      </c>
      <c r="CQ59" t="str">
        <f>IF(AND(DC59=""),"",IF(DC59=0,"",DC59))</f>
        <v/>
      </c>
      <c r="CR59" s="135">
        <v>1</v>
      </c>
      <c r="CS59" s="253">
        <f t="shared" ref="CS59:DB59" si="13">IF($K59="NON GAZETTED - SANVIDA",B59,0)</f>
        <v>0</v>
      </c>
      <c r="CT59" s="257">
        <f t="shared" si="13"/>
        <v>0</v>
      </c>
      <c r="CU59" s="257">
        <f t="shared" si="13"/>
        <v>0</v>
      </c>
      <c r="CV59" s="257">
        <f t="shared" si="13"/>
        <v>0</v>
      </c>
      <c r="CW59" s="257">
        <f t="shared" si="13"/>
        <v>0</v>
      </c>
      <c r="CX59" s="257">
        <f t="shared" si="13"/>
        <v>0</v>
      </c>
      <c r="CY59" s="257">
        <f t="shared" si="13"/>
        <v>0</v>
      </c>
      <c r="CZ59" s="257">
        <f t="shared" si="13"/>
        <v>0</v>
      </c>
      <c r="DA59" s="257">
        <f t="shared" si="13"/>
        <v>0</v>
      </c>
      <c r="DB59" s="257">
        <f t="shared" si="13"/>
        <v>0</v>
      </c>
      <c r="DC59" s="257">
        <f>IF(AND(K59=""),"",IF(K59=CS$57,1,0))</f>
        <v>0</v>
      </c>
      <c r="DD59" s="255"/>
    </row>
    <row r="60" spans="1:108" ht="20.25">
      <c r="A60" s="36">
        <v>2</v>
      </c>
      <c r="B60" s="62" t="s">
        <v>632</v>
      </c>
      <c r="C60" s="63" t="s">
        <v>65</v>
      </c>
      <c r="D60" s="64">
        <v>12</v>
      </c>
      <c r="E60" s="217">
        <v>45600</v>
      </c>
      <c r="F60" s="217" t="s">
        <v>66</v>
      </c>
      <c r="G60" s="218">
        <v>110041926330</v>
      </c>
      <c r="H60" s="65" t="s">
        <v>62</v>
      </c>
      <c r="I60" s="65" t="s">
        <v>63</v>
      </c>
      <c r="J60" s="65" t="s">
        <v>63</v>
      </c>
      <c r="K60" s="66" t="s">
        <v>64</v>
      </c>
      <c r="L60" s="75"/>
      <c r="M60" s="75"/>
      <c r="N60" s="75"/>
      <c r="AB60" t="str">
        <f t="shared" ref="AB60:AB109" si="14">MID(F60,5,4)</f>
        <v>2005</v>
      </c>
      <c r="AC60">
        <f t="shared" ref="AC60:AC107" si="15">IF(D60&lt;=0,1,0)*(IF(K60="SANVIDA",0,1))</f>
        <v>0</v>
      </c>
      <c r="AD60">
        <f>IF(AND(AP60=""),"",IF(AP60=0,"",1+(MAX(AD$59:AD59))))</f>
        <v>2</v>
      </c>
      <c r="AE60" s="256">
        <v>2</v>
      </c>
      <c r="AF60" s="253" t="str">
        <f t="shared" ref="AF60:AF108" si="16">IF($K60="GAZETTED - REGULAR",B60,0)</f>
        <v>lkaojey ;kno</v>
      </c>
      <c r="AG60" s="257" t="str">
        <f t="shared" ref="AG60:AG108" si="17">IF($K60="GAZETTED - REGULAR",C60,0)</f>
        <v>TEACHER-I</v>
      </c>
      <c r="AH60" s="257">
        <f t="shared" ref="AH60:AH108" si="18">IF($K60="GAZETTED - REGULAR",D60,0)</f>
        <v>12</v>
      </c>
      <c r="AI60" s="257">
        <f t="shared" ref="AI60:AI108" si="19">IF($K60="GAZETTED - REGULAR",E60,0)</f>
        <v>45600</v>
      </c>
      <c r="AJ60" s="257" t="str">
        <f t="shared" ref="AJ60:AJ108" si="20">IF($K60="GAZETTED - REGULAR",F60,0)</f>
        <v>RJPA200529010447</v>
      </c>
      <c r="AK60" s="257">
        <f t="shared" ref="AK60:AK108" si="21">IF($K60="GAZETTED - REGULAR",G60,0)</f>
        <v>110041926330</v>
      </c>
      <c r="AL60" s="257" t="str">
        <f t="shared" ref="AL60:AL108" si="22">IF($K60="GAZETTED - REGULAR",H60,0)</f>
        <v>MALE</v>
      </c>
      <c r="AM60" s="257" t="str">
        <f t="shared" ref="AM60:AM108" si="23">IF($K60="GAZETTED - REGULAR",I60,0)</f>
        <v>NO</v>
      </c>
      <c r="AN60" s="257" t="str">
        <f t="shared" ref="AN60:AN108" si="24">IF($K60="GAZETTED - REGULAR",J60,0)</f>
        <v>NO</v>
      </c>
      <c r="AO60" s="257" t="str">
        <f t="shared" ref="AO60:AO108" si="25">IF($K60="GAZETTED - REGULAR",K60,0)</f>
        <v>GAZETTED - REGULAR</v>
      </c>
      <c r="AP60" s="257">
        <f t="shared" ref="AP60:AP108" si="26">IF(AND(K60=""),"",IF(K60=AF$57,1,0))</f>
        <v>1</v>
      </c>
      <c r="AQ60" t="str">
        <f>IF(AND(BC60=""),"",IF(BC60=0,"",1+(MAX(AQ$59:AQ59))))</f>
        <v/>
      </c>
      <c r="AR60" s="256">
        <v>2</v>
      </c>
      <c r="AS60" s="253">
        <f t="shared" ref="AS60:BA60" si="27">IF($K60="NON GAZETTED - REGULAR",B60,0)</f>
        <v>0</v>
      </c>
      <c r="AT60" s="254">
        <f t="shared" si="27"/>
        <v>0</v>
      </c>
      <c r="AU60" s="254">
        <f t="shared" si="27"/>
        <v>0</v>
      </c>
      <c r="AV60" s="254">
        <f t="shared" si="27"/>
        <v>0</v>
      </c>
      <c r="AW60" s="254">
        <f t="shared" si="27"/>
        <v>0</v>
      </c>
      <c r="AX60" s="254">
        <f t="shared" si="27"/>
        <v>0</v>
      </c>
      <c r="AY60" s="254">
        <f t="shared" si="27"/>
        <v>0</v>
      </c>
      <c r="AZ60" s="254">
        <f t="shared" si="27"/>
        <v>0</v>
      </c>
      <c r="BA60" s="254">
        <f t="shared" si="27"/>
        <v>0</v>
      </c>
      <c r="BB60" s="254">
        <f t="shared" ref="BB60:BB108" si="28">IF($K60="NON GAZETTED - REGULAR",K60,0)</f>
        <v>0</v>
      </c>
      <c r="BC60" s="257">
        <f t="shared" ref="BC60:BC108" si="29">IF(AND(K60=""),"",IF(K60=AS$57,1,0))</f>
        <v>0</v>
      </c>
      <c r="BD60" t="str">
        <f>IF(AND(BP60=""),"",IF(BP60=0,"",1+(MAX(BD$59:BD59))))</f>
        <v/>
      </c>
      <c r="BE60" s="256">
        <v>2</v>
      </c>
      <c r="BF60" s="253">
        <f t="shared" ref="BF60:BF91" si="30">IF($K60="GAZETTED - FIX PAY",B60,0)</f>
        <v>0</v>
      </c>
      <c r="BG60" s="257">
        <f t="shared" ref="BG60:BG91" si="31">IF($K60="GAZETTED - FIX PAY",C60,0)</f>
        <v>0</v>
      </c>
      <c r="BH60" s="257">
        <f t="shared" ref="BH60:BH91" si="32">IF($K60="GAZETTED - FIX PAY",D60,0)</f>
        <v>0</v>
      </c>
      <c r="BI60" s="257">
        <f t="shared" ref="BI60:BI91" si="33">IF($K60="GAZETTED - FIX PAY",E60,0)</f>
        <v>0</v>
      </c>
      <c r="BJ60" s="257">
        <f t="shared" ref="BJ60:BJ91" si="34">IF($K60="GAZETTED - FIX PAY",F60,0)</f>
        <v>0</v>
      </c>
      <c r="BK60" s="257">
        <f t="shared" ref="BK60:BK91" si="35">IF($K60="GAZETTED - FIX PAY",G60,0)</f>
        <v>0</v>
      </c>
      <c r="BL60" s="257">
        <f t="shared" ref="BL60:BL91" si="36">IF($K60="GAZETTED - FIX PAY",H60,0)</f>
        <v>0</v>
      </c>
      <c r="BM60" s="257">
        <f t="shared" ref="BM60:BM91" si="37">IF($K60="GAZETTED - FIX PAY",I60,0)</f>
        <v>0</v>
      </c>
      <c r="BN60" s="257">
        <f t="shared" ref="BN60:BN91" si="38">IF($K60="GAZETTED - FIX PAY",J60,0)</f>
        <v>0</v>
      </c>
      <c r="BO60" s="257">
        <f t="shared" ref="BO60:BO108" si="39">IF($K60="GAZETTED - FIX PAY",K60,0)</f>
        <v>0</v>
      </c>
      <c r="BP60" s="257">
        <f t="shared" ref="BP60:BP108" si="40">IF(AND(K60=""),"",IF(K60=BF$57,1,0))</f>
        <v>0</v>
      </c>
      <c r="BQ60" t="str">
        <f>IF(AND(CC60=""),"",IF(CC60=0,"",1+(MAX(BQ$59:BQ59))))</f>
        <v/>
      </c>
      <c r="BR60" s="256">
        <v>2</v>
      </c>
      <c r="BS60" s="253">
        <f t="shared" ref="BS60:BS91" si="41">IF($K60="NON GAZETTED - FIX PAY",B60,0)</f>
        <v>0</v>
      </c>
      <c r="BT60" s="257">
        <f t="shared" ref="BT60:BT91" si="42">IF($K60="NON GAZETTED - FIX PAY",C60,0)</f>
        <v>0</v>
      </c>
      <c r="BU60" s="257">
        <f t="shared" ref="BU60:BU91" si="43">IF($K60="NON GAZETTED - FIX PAY",D60,0)</f>
        <v>0</v>
      </c>
      <c r="BV60" s="257">
        <f t="shared" ref="BV60:BV91" si="44">IF($K60="NON GAZETTED - FIX PAY",E60,0)</f>
        <v>0</v>
      </c>
      <c r="BW60" s="257">
        <f t="shared" ref="BW60:BW91" si="45">IF($K60="NON GAZETTED - FIX PAY",F60,0)</f>
        <v>0</v>
      </c>
      <c r="BX60" s="257">
        <f t="shared" ref="BX60:BX91" si="46">IF($K60="NON GAZETTED - FIX PAY",G60,0)</f>
        <v>0</v>
      </c>
      <c r="BY60" s="257">
        <f t="shared" ref="BY60:BY91" si="47">IF($K60="NON GAZETTED - FIX PAY",H60,0)</f>
        <v>0</v>
      </c>
      <c r="BZ60" s="257">
        <f t="shared" ref="BZ60:BZ91" si="48">IF($K60="NON GAZETTED - FIX PAY",I60,0)</f>
        <v>0</v>
      </c>
      <c r="CA60" s="257">
        <f t="shared" ref="CA60:CA91" si="49">IF($K60="NON GAZETTED - FIX PAY",J60,0)</f>
        <v>0</v>
      </c>
      <c r="CB60" s="257">
        <f t="shared" ref="CB60:CB108" si="50">IF($K60="NON GAZETTED - FIX PAY",K60,0)</f>
        <v>0</v>
      </c>
      <c r="CC60" s="257">
        <f>IF(AND(K60=""),"",IF(K60=BS$57,1,0))</f>
        <v>0</v>
      </c>
      <c r="CD60" t="str">
        <f>IF(AND(CP60=""),"",IF(CP60=0,"",1+(MAX(CD$59:CD59))))</f>
        <v/>
      </c>
      <c r="CE60" s="256">
        <v>2</v>
      </c>
      <c r="CF60" s="253">
        <f t="shared" ref="CF60:CF108" si="51">IF($K60="GAZETTED - SANVIDA",B60,0)</f>
        <v>0</v>
      </c>
      <c r="CG60" s="257">
        <f t="shared" ref="CG60:CG108" si="52">IF($K60="GAZETTED - SANVIDA",C60,0)</f>
        <v>0</v>
      </c>
      <c r="CH60" s="257">
        <f t="shared" ref="CH60:CH108" si="53">IF($K60="GAZETTED - SANVIDA",D60,0)</f>
        <v>0</v>
      </c>
      <c r="CI60" s="257">
        <f t="shared" ref="CI60:CI108" si="54">IF($K60="GAZETTED - SANVIDA",E60,0)</f>
        <v>0</v>
      </c>
      <c r="CJ60" s="257">
        <f t="shared" ref="CJ60:CJ108" si="55">IF($K60="GAZETTED - SANVIDA",F60,0)</f>
        <v>0</v>
      </c>
      <c r="CK60" s="257">
        <f t="shared" ref="CK60:CK108" si="56">IF($K60="GAZETTED - SANVIDA",G60,0)</f>
        <v>0</v>
      </c>
      <c r="CL60" s="257">
        <f t="shared" ref="CL60:CL108" si="57">IF($K60="GAZETTED - SANVIDA",H60,0)</f>
        <v>0</v>
      </c>
      <c r="CM60" s="257">
        <f t="shared" ref="CM60:CM108" si="58">IF($K60="GAZETTED - SANVIDA",I60,0)</f>
        <v>0</v>
      </c>
      <c r="CN60" s="257">
        <f t="shared" ref="CN60:CN108" si="59">IF($K60="GAZETTED - SANVIDA",J60,0)</f>
        <v>0</v>
      </c>
      <c r="CO60" s="257">
        <f t="shared" ref="CO60:CO108" si="60">IF($K60="GAZETTED - SANVIDA",K60,0)</f>
        <v>0</v>
      </c>
      <c r="CP60" s="257">
        <f t="shared" ref="CP60:CP108" si="61">IF(AND(K60=""),"",IF(K60=CF$57,1,0))</f>
        <v>0</v>
      </c>
      <c r="CQ60" t="str">
        <f>IF(AND(DC60=""),"",IF(DC60=0,"",1+(MAX(CQ$59:CQ59))))</f>
        <v/>
      </c>
      <c r="CR60" s="256">
        <v>2</v>
      </c>
      <c r="CS60" s="253">
        <f t="shared" ref="CS60:CS109" si="62">IF($K60="NON GAZETTED - SANVIDA",B60,0)</f>
        <v>0</v>
      </c>
      <c r="CT60" s="257">
        <f t="shared" ref="CT60:CT109" si="63">IF($K60="NON GAZETTED - SANVIDA",C60,0)</f>
        <v>0</v>
      </c>
      <c r="CU60" s="257">
        <f t="shared" ref="CU60:CU109" si="64">IF($K60="NON GAZETTED - SANVIDA",D60,0)</f>
        <v>0</v>
      </c>
      <c r="CV60" s="257">
        <f t="shared" ref="CV60:CV109" si="65">IF($K60="NON GAZETTED - SANVIDA",E60,0)</f>
        <v>0</v>
      </c>
      <c r="CW60" s="257">
        <f t="shared" ref="CW60:CW109" si="66">IF($K60="NON GAZETTED - SANVIDA",F60,0)</f>
        <v>0</v>
      </c>
      <c r="CX60" s="257">
        <f t="shared" ref="CX60:CX109" si="67">IF($K60="NON GAZETTED - SANVIDA",G60,0)</f>
        <v>0</v>
      </c>
      <c r="CY60" s="257">
        <f t="shared" ref="CY60:CY109" si="68">IF($K60="NON GAZETTED - SANVIDA",H60,0)</f>
        <v>0</v>
      </c>
      <c r="CZ60" s="257">
        <f t="shared" ref="CZ60:CZ109" si="69">IF($K60="NON GAZETTED - SANVIDA",I60,0)</f>
        <v>0</v>
      </c>
      <c r="DA60" s="257">
        <f t="shared" ref="DA60:DA109" si="70">IF($K60="NON GAZETTED - SANVIDA",J60,0)</f>
        <v>0</v>
      </c>
      <c r="DB60" s="257">
        <f t="shared" ref="DB60:DB109" si="71">IF($K60="NON GAZETTED - SANVIDA",K60,0)</f>
        <v>0</v>
      </c>
      <c r="DC60" s="257">
        <f t="shared" ref="DC60:DC109" si="72">IF(AND(K60=""),"",IF(K60=CS$57,1,0))</f>
        <v>0</v>
      </c>
      <c r="DD60" s="255"/>
    </row>
    <row r="61" spans="1:108" ht="20.25">
      <c r="A61" s="36">
        <v>3</v>
      </c>
      <c r="B61" s="62" t="s">
        <v>633</v>
      </c>
      <c r="C61" s="63" t="s">
        <v>65</v>
      </c>
      <c r="D61" s="64">
        <v>12</v>
      </c>
      <c r="E61" s="217">
        <v>46500</v>
      </c>
      <c r="F61" s="217" t="s">
        <v>68</v>
      </c>
      <c r="G61" s="218">
        <v>690644</v>
      </c>
      <c r="H61" s="65" t="s">
        <v>62</v>
      </c>
      <c r="I61" s="65" t="s">
        <v>63</v>
      </c>
      <c r="J61" s="65" t="s">
        <v>63</v>
      </c>
      <c r="K61" s="66" t="s">
        <v>64</v>
      </c>
      <c r="L61" s="75"/>
      <c r="M61" s="75"/>
      <c r="N61" s="75"/>
      <c r="AB61" t="str">
        <f t="shared" si="14"/>
        <v>1991</v>
      </c>
      <c r="AC61">
        <f t="shared" si="15"/>
        <v>0</v>
      </c>
      <c r="AD61">
        <f>IF(AND(AP61=""),"",IF(AP61=0,"",1+(MAX(AD$59:AD60))))</f>
        <v>3</v>
      </c>
      <c r="AE61" s="135">
        <v>3</v>
      </c>
      <c r="AF61" s="253" t="str">
        <f t="shared" si="16"/>
        <v>dY;k.kfalg</v>
      </c>
      <c r="AG61" s="257" t="str">
        <f t="shared" si="17"/>
        <v>TEACHER-I</v>
      </c>
      <c r="AH61" s="257">
        <f t="shared" si="18"/>
        <v>12</v>
      </c>
      <c r="AI61" s="257">
        <f t="shared" si="19"/>
        <v>46500</v>
      </c>
      <c r="AJ61" s="257" t="str">
        <f t="shared" si="20"/>
        <v>RJPA199129005853</v>
      </c>
      <c r="AK61" s="257">
        <f t="shared" si="21"/>
        <v>690644</v>
      </c>
      <c r="AL61" s="257" t="str">
        <f t="shared" si="22"/>
        <v>MALE</v>
      </c>
      <c r="AM61" s="257" t="str">
        <f t="shared" si="23"/>
        <v>NO</v>
      </c>
      <c r="AN61" s="257" t="str">
        <f>IF($K61="GAZETTED - REGULAR",J61,0)</f>
        <v>NO</v>
      </c>
      <c r="AO61" s="257" t="str">
        <f t="shared" si="25"/>
        <v>GAZETTED - REGULAR</v>
      </c>
      <c r="AP61" s="257">
        <f t="shared" si="26"/>
        <v>1</v>
      </c>
      <c r="AQ61" t="str">
        <f>IF(AND(BC61=""),"",IF(BC61=0,"",1+(MAX(AQ$59:AQ60))))</f>
        <v/>
      </c>
      <c r="AR61" s="256">
        <v>3</v>
      </c>
      <c r="AS61" s="253">
        <f t="shared" ref="AS61:AS108" si="73">IF($K61="NON GAZETTED - REGULAR",B61,0)</f>
        <v>0</v>
      </c>
      <c r="AT61" s="254">
        <f t="shared" ref="AT61:AT108" si="74">IF($K61="NON GAZETTED - REGULAR",C61,0)</f>
        <v>0</v>
      </c>
      <c r="AU61" s="254">
        <f t="shared" ref="AU61:AU108" si="75">IF($K61="NON GAZETTED - REGULAR",D61,0)</f>
        <v>0</v>
      </c>
      <c r="AV61" s="254">
        <f t="shared" ref="AV61:AV108" si="76">IF($K61="NON GAZETTED - REGULAR",E61,0)</f>
        <v>0</v>
      </c>
      <c r="AW61" s="254">
        <f t="shared" ref="AW61:AW108" si="77">IF($K61="NON GAZETTED - REGULAR",F61,0)</f>
        <v>0</v>
      </c>
      <c r="AX61" s="254">
        <f t="shared" ref="AX61:AX108" si="78">IF($K61="NON GAZETTED - REGULAR",G61,0)</f>
        <v>0</v>
      </c>
      <c r="AY61" s="254">
        <f t="shared" ref="AY61:AY108" si="79">IF($K61="NON GAZETTED - REGULAR",H61,0)</f>
        <v>0</v>
      </c>
      <c r="AZ61" s="254">
        <f t="shared" ref="AZ61:AZ108" si="80">IF($K61="NON GAZETTED - REGULAR",I61,0)</f>
        <v>0</v>
      </c>
      <c r="BA61" s="254">
        <f t="shared" ref="BA61:BA108" si="81">IF($K61="NON GAZETTED - REGULAR",J61,0)</f>
        <v>0</v>
      </c>
      <c r="BB61" s="254">
        <f t="shared" si="28"/>
        <v>0</v>
      </c>
      <c r="BC61" s="257">
        <f t="shared" si="29"/>
        <v>0</v>
      </c>
      <c r="BD61" t="str">
        <f>IF(AND(BP61=""),"",IF(BP61=0,"",1+(MAX(BD$59:BD60))))</f>
        <v/>
      </c>
      <c r="BE61" s="135">
        <v>3</v>
      </c>
      <c r="BF61" s="253">
        <f t="shared" si="30"/>
        <v>0</v>
      </c>
      <c r="BG61" s="257">
        <f t="shared" si="31"/>
        <v>0</v>
      </c>
      <c r="BH61" s="257">
        <f t="shared" si="32"/>
        <v>0</v>
      </c>
      <c r="BI61" s="257">
        <f t="shared" si="33"/>
        <v>0</v>
      </c>
      <c r="BJ61" s="257">
        <f t="shared" si="34"/>
        <v>0</v>
      </c>
      <c r="BK61" s="257">
        <f t="shared" si="35"/>
        <v>0</v>
      </c>
      <c r="BL61" s="257">
        <f t="shared" si="36"/>
        <v>0</v>
      </c>
      <c r="BM61" s="257">
        <f t="shared" si="37"/>
        <v>0</v>
      </c>
      <c r="BN61" s="257">
        <f t="shared" si="38"/>
        <v>0</v>
      </c>
      <c r="BO61" s="257">
        <f t="shared" si="39"/>
        <v>0</v>
      </c>
      <c r="BP61" s="257">
        <f t="shared" si="40"/>
        <v>0</v>
      </c>
      <c r="BQ61" t="str">
        <f>IF(AND(CC61=""),"",IF(CC61=0,"",1+(MAX(BQ$59:BQ60))))</f>
        <v/>
      </c>
      <c r="BR61" s="256">
        <v>3</v>
      </c>
      <c r="BS61" s="253">
        <f t="shared" si="41"/>
        <v>0</v>
      </c>
      <c r="BT61" s="257">
        <f t="shared" si="42"/>
        <v>0</v>
      </c>
      <c r="BU61" s="257">
        <f t="shared" si="43"/>
        <v>0</v>
      </c>
      <c r="BV61" s="257">
        <f t="shared" si="44"/>
        <v>0</v>
      </c>
      <c r="BW61" s="257">
        <f t="shared" si="45"/>
        <v>0</v>
      </c>
      <c r="BX61" s="257">
        <f t="shared" si="46"/>
        <v>0</v>
      </c>
      <c r="BY61" s="257">
        <f t="shared" si="47"/>
        <v>0</v>
      </c>
      <c r="BZ61" s="257">
        <f t="shared" si="48"/>
        <v>0</v>
      </c>
      <c r="CA61" s="257">
        <f t="shared" si="49"/>
        <v>0</v>
      </c>
      <c r="CB61" s="257">
        <f t="shared" si="50"/>
        <v>0</v>
      </c>
      <c r="CC61" s="257">
        <f t="shared" ref="CC61:CC85" si="82">IF(AND(K61=""),"",IF(K61=BS$57,1,0))</f>
        <v>0</v>
      </c>
      <c r="CD61" t="str">
        <f>IF(AND(CP61=""),"",IF(CP61=0,"",1+(MAX(CD$59:CD60))))</f>
        <v/>
      </c>
      <c r="CE61" s="135">
        <v>3</v>
      </c>
      <c r="CF61" s="253">
        <f t="shared" si="51"/>
        <v>0</v>
      </c>
      <c r="CG61" s="257">
        <f t="shared" si="52"/>
        <v>0</v>
      </c>
      <c r="CH61" s="257">
        <f t="shared" si="53"/>
        <v>0</v>
      </c>
      <c r="CI61" s="257">
        <f t="shared" si="54"/>
        <v>0</v>
      </c>
      <c r="CJ61" s="257">
        <f t="shared" si="55"/>
        <v>0</v>
      </c>
      <c r="CK61" s="257">
        <f t="shared" si="56"/>
        <v>0</v>
      </c>
      <c r="CL61" s="257">
        <f t="shared" si="57"/>
        <v>0</v>
      </c>
      <c r="CM61" s="257">
        <f t="shared" si="58"/>
        <v>0</v>
      </c>
      <c r="CN61" s="257">
        <f t="shared" si="59"/>
        <v>0</v>
      </c>
      <c r="CO61" s="257">
        <f t="shared" si="60"/>
        <v>0</v>
      </c>
      <c r="CP61" s="257">
        <f t="shared" si="61"/>
        <v>0</v>
      </c>
      <c r="CQ61" t="str">
        <f>IF(AND(DC61=""),"",IF(DC61=0,"",1+(MAX(CQ$59:CQ60))))</f>
        <v/>
      </c>
      <c r="CR61" s="135">
        <v>3</v>
      </c>
      <c r="CS61" s="253">
        <f t="shared" si="62"/>
        <v>0</v>
      </c>
      <c r="CT61" s="257">
        <f t="shared" si="63"/>
        <v>0</v>
      </c>
      <c r="CU61" s="257">
        <f t="shared" si="64"/>
        <v>0</v>
      </c>
      <c r="CV61" s="257">
        <f t="shared" si="65"/>
        <v>0</v>
      </c>
      <c r="CW61" s="257">
        <f t="shared" si="66"/>
        <v>0</v>
      </c>
      <c r="CX61" s="257">
        <f t="shared" si="67"/>
        <v>0</v>
      </c>
      <c r="CY61" s="257">
        <f t="shared" si="68"/>
        <v>0</v>
      </c>
      <c r="CZ61" s="257">
        <f t="shared" si="69"/>
        <v>0</v>
      </c>
      <c r="DA61" s="257">
        <f t="shared" si="70"/>
        <v>0</v>
      </c>
      <c r="DB61" s="257">
        <f t="shared" si="71"/>
        <v>0</v>
      </c>
      <c r="DC61" s="257">
        <f t="shared" si="72"/>
        <v>0</v>
      </c>
      <c r="DD61" s="255"/>
    </row>
    <row r="62" spans="1:108" ht="20.25">
      <c r="A62" s="36">
        <v>4</v>
      </c>
      <c r="B62" s="62" t="s">
        <v>634</v>
      </c>
      <c r="C62" s="63" t="s">
        <v>65</v>
      </c>
      <c r="D62" s="64">
        <v>12</v>
      </c>
      <c r="E62" s="217">
        <v>69300</v>
      </c>
      <c r="F62" s="217" t="s">
        <v>69</v>
      </c>
      <c r="G62" s="218">
        <v>811892</v>
      </c>
      <c r="H62" s="65" t="s">
        <v>62</v>
      </c>
      <c r="I62" s="65" t="s">
        <v>63</v>
      </c>
      <c r="J62" s="65" t="s">
        <v>63</v>
      </c>
      <c r="K62" s="66" t="s">
        <v>64</v>
      </c>
      <c r="L62" s="75"/>
      <c r="M62" s="75"/>
      <c r="N62" s="75"/>
      <c r="AB62" t="str">
        <f t="shared" si="14"/>
        <v>1995</v>
      </c>
      <c r="AC62">
        <f t="shared" si="15"/>
        <v>0</v>
      </c>
      <c r="AD62">
        <f>IF(AND(AP62=""),"",IF(AP62=0,"",1+(MAX(AD$59:AD61))))</f>
        <v>4</v>
      </c>
      <c r="AE62" s="135">
        <v>4</v>
      </c>
      <c r="AF62" s="253" t="str">
        <f t="shared" si="16"/>
        <v>Hkxokuflag</v>
      </c>
      <c r="AG62" s="257" t="str">
        <f t="shared" si="17"/>
        <v>TEACHER-I</v>
      </c>
      <c r="AH62" s="257">
        <f t="shared" si="18"/>
        <v>12</v>
      </c>
      <c r="AI62" s="257">
        <f t="shared" si="19"/>
        <v>69300</v>
      </c>
      <c r="AJ62" s="257" t="str">
        <f t="shared" si="20"/>
        <v>RJPA199529003872</v>
      </c>
      <c r="AK62" s="257">
        <f t="shared" si="21"/>
        <v>811892</v>
      </c>
      <c r="AL62" s="257" t="str">
        <f t="shared" si="22"/>
        <v>MALE</v>
      </c>
      <c r="AM62" s="257" t="str">
        <f t="shared" si="23"/>
        <v>NO</v>
      </c>
      <c r="AN62" s="257" t="str">
        <f t="shared" si="24"/>
        <v>NO</v>
      </c>
      <c r="AO62" s="257" t="str">
        <f t="shared" si="25"/>
        <v>GAZETTED - REGULAR</v>
      </c>
      <c r="AP62" s="257">
        <f t="shared" si="26"/>
        <v>1</v>
      </c>
      <c r="AQ62" t="str">
        <f>IF(AND(BC62=""),"",IF(BC62=0,"",1+(MAX(AQ$59:AQ61))))</f>
        <v/>
      </c>
      <c r="AR62" s="256">
        <v>4</v>
      </c>
      <c r="AS62" s="253">
        <f t="shared" si="73"/>
        <v>0</v>
      </c>
      <c r="AT62" s="254">
        <f t="shared" si="74"/>
        <v>0</v>
      </c>
      <c r="AU62" s="254">
        <f t="shared" si="75"/>
        <v>0</v>
      </c>
      <c r="AV62" s="254">
        <f t="shared" si="76"/>
        <v>0</v>
      </c>
      <c r="AW62" s="254">
        <f t="shared" si="77"/>
        <v>0</v>
      </c>
      <c r="AX62" s="254">
        <f t="shared" si="78"/>
        <v>0</v>
      </c>
      <c r="AY62" s="254">
        <f t="shared" si="79"/>
        <v>0</v>
      </c>
      <c r="AZ62" s="254">
        <f t="shared" si="80"/>
        <v>0</v>
      </c>
      <c r="BA62" s="254">
        <f t="shared" si="81"/>
        <v>0</v>
      </c>
      <c r="BB62" s="254">
        <f t="shared" si="28"/>
        <v>0</v>
      </c>
      <c r="BC62" s="257">
        <f t="shared" si="29"/>
        <v>0</v>
      </c>
      <c r="BD62" t="str">
        <f>IF(AND(BP62=""),"",IF(BP62=0,"",1+(MAX(BD$59:BD61))))</f>
        <v/>
      </c>
      <c r="BE62" s="135">
        <v>4</v>
      </c>
      <c r="BF62" s="253">
        <f t="shared" si="30"/>
        <v>0</v>
      </c>
      <c r="BG62" s="257">
        <f t="shared" si="31"/>
        <v>0</v>
      </c>
      <c r="BH62" s="257">
        <f t="shared" si="32"/>
        <v>0</v>
      </c>
      <c r="BI62" s="257">
        <f t="shared" si="33"/>
        <v>0</v>
      </c>
      <c r="BJ62" s="257">
        <f t="shared" si="34"/>
        <v>0</v>
      </c>
      <c r="BK62" s="257">
        <f t="shared" si="35"/>
        <v>0</v>
      </c>
      <c r="BL62" s="257">
        <f t="shared" si="36"/>
        <v>0</v>
      </c>
      <c r="BM62" s="257">
        <f t="shared" si="37"/>
        <v>0</v>
      </c>
      <c r="BN62" s="257">
        <f t="shared" si="38"/>
        <v>0</v>
      </c>
      <c r="BO62" s="257">
        <f t="shared" si="39"/>
        <v>0</v>
      </c>
      <c r="BP62" s="257">
        <f t="shared" si="40"/>
        <v>0</v>
      </c>
      <c r="BQ62" t="str">
        <f>IF(AND(CC62=""),"",IF(CC62=0,"",1+(MAX(BQ$59:BQ61))))</f>
        <v/>
      </c>
      <c r="BR62" s="256">
        <v>4</v>
      </c>
      <c r="BS62" s="253">
        <f t="shared" si="41"/>
        <v>0</v>
      </c>
      <c r="BT62" s="257">
        <f t="shared" si="42"/>
        <v>0</v>
      </c>
      <c r="BU62" s="257">
        <f t="shared" si="43"/>
        <v>0</v>
      </c>
      <c r="BV62" s="257">
        <f t="shared" si="44"/>
        <v>0</v>
      </c>
      <c r="BW62" s="257">
        <f t="shared" si="45"/>
        <v>0</v>
      </c>
      <c r="BX62" s="257">
        <f t="shared" si="46"/>
        <v>0</v>
      </c>
      <c r="BY62" s="257">
        <f t="shared" si="47"/>
        <v>0</v>
      </c>
      <c r="BZ62" s="257">
        <f t="shared" si="48"/>
        <v>0</v>
      </c>
      <c r="CA62" s="257">
        <f t="shared" si="49"/>
        <v>0</v>
      </c>
      <c r="CB62" s="257">
        <f t="shared" si="50"/>
        <v>0</v>
      </c>
      <c r="CC62" s="257">
        <f t="shared" si="82"/>
        <v>0</v>
      </c>
      <c r="CD62" t="str">
        <f>IF(AND(CP62=""),"",IF(CP62=0,"",1+(MAX(CD$59:CD61))))</f>
        <v/>
      </c>
      <c r="CE62" s="135">
        <v>4</v>
      </c>
      <c r="CF62" s="253">
        <f t="shared" si="51"/>
        <v>0</v>
      </c>
      <c r="CG62" s="257">
        <f t="shared" si="52"/>
        <v>0</v>
      </c>
      <c r="CH62" s="257">
        <f t="shared" si="53"/>
        <v>0</v>
      </c>
      <c r="CI62" s="257">
        <f t="shared" si="54"/>
        <v>0</v>
      </c>
      <c r="CJ62" s="257">
        <f t="shared" si="55"/>
        <v>0</v>
      </c>
      <c r="CK62" s="257">
        <f t="shared" si="56"/>
        <v>0</v>
      </c>
      <c r="CL62" s="257">
        <f t="shared" si="57"/>
        <v>0</v>
      </c>
      <c r="CM62" s="257">
        <f t="shared" si="58"/>
        <v>0</v>
      </c>
      <c r="CN62" s="257">
        <f t="shared" si="59"/>
        <v>0</v>
      </c>
      <c r="CO62" s="257">
        <f t="shared" si="60"/>
        <v>0</v>
      </c>
      <c r="CP62" s="257">
        <f t="shared" si="61"/>
        <v>0</v>
      </c>
      <c r="CQ62" t="str">
        <f>IF(AND(DC62=""),"",IF(DC62=0,"",1+(MAX(CQ$59:CQ61))))</f>
        <v/>
      </c>
      <c r="CR62" s="256">
        <v>4</v>
      </c>
      <c r="CS62" s="253">
        <f t="shared" si="62"/>
        <v>0</v>
      </c>
      <c r="CT62" s="257">
        <f t="shared" si="63"/>
        <v>0</v>
      </c>
      <c r="CU62" s="257">
        <f t="shared" si="64"/>
        <v>0</v>
      </c>
      <c r="CV62" s="257">
        <f t="shared" si="65"/>
        <v>0</v>
      </c>
      <c r="CW62" s="257">
        <f t="shared" si="66"/>
        <v>0</v>
      </c>
      <c r="CX62" s="257">
        <f t="shared" si="67"/>
        <v>0</v>
      </c>
      <c r="CY62" s="257">
        <f t="shared" si="68"/>
        <v>0</v>
      </c>
      <c r="CZ62" s="257">
        <f t="shared" si="69"/>
        <v>0</v>
      </c>
      <c r="DA62" s="257">
        <f t="shared" si="70"/>
        <v>0</v>
      </c>
      <c r="DB62" s="257">
        <f t="shared" si="71"/>
        <v>0</v>
      </c>
      <c r="DC62" s="257">
        <f t="shared" si="72"/>
        <v>0</v>
      </c>
      <c r="DD62" s="255"/>
    </row>
    <row r="63" spans="1:108" ht="20.25">
      <c r="A63" s="36">
        <v>5</v>
      </c>
      <c r="B63" s="62" t="s">
        <v>635</v>
      </c>
      <c r="C63" s="63" t="s">
        <v>65</v>
      </c>
      <c r="D63" s="64">
        <v>11</v>
      </c>
      <c r="E63" s="217">
        <v>49300</v>
      </c>
      <c r="F63" s="217" t="s">
        <v>71</v>
      </c>
      <c r="G63" s="218">
        <v>618998</v>
      </c>
      <c r="H63" s="65" t="s">
        <v>62</v>
      </c>
      <c r="I63" s="65" t="s">
        <v>63</v>
      </c>
      <c r="J63" s="65" t="s">
        <v>63</v>
      </c>
      <c r="K63" s="66" t="s">
        <v>73</v>
      </c>
      <c r="L63" s="75"/>
      <c r="M63" s="75"/>
      <c r="N63" s="75"/>
      <c r="AB63" t="str">
        <f t="shared" si="14"/>
        <v>1990</v>
      </c>
      <c r="AC63">
        <f t="shared" si="15"/>
        <v>0</v>
      </c>
      <c r="AD63" t="str">
        <f>IF(AND(AP63=""),"",IF(AP63=0,"",1+(MAX(AD$59:AD62))))</f>
        <v/>
      </c>
      <c r="AE63" s="135">
        <v>5</v>
      </c>
      <c r="AF63" s="253">
        <f t="shared" si="16"/>
        <v>0</v>
      </c>
      <c r="AG63" s="257">
        <f t="shared" si="17"/>
        <v>0</v>
      </c>
      <c r="AH63" s="257">
        <f t="shared" si="18"/>
        <v>0</v>
      </c>
      <c r="AI63" s="257">
        <f t="shared" si="19"/>
        <v>0</v>
      </c>
      <c r="AJ63" s="257">
        <f t="shared" si="20"/>
        <v>0</v>
      </c>
      <c r="AK63" s="257">
        <f t="shared" si="21"/>
        <v>0</v>
      </c>
      <c r="AL63" s="257">
        <f t="shared" si="22"/>
        <v>0</v>
      </c>
      <c r="AM63" s="257">
        <f t="shared" si="23"/>
        <v>0</v>
      </c>
      <c r="AN63" s="257">
        <f t="shared" si="24"/>
        <v>0</v>
      </c>
      <c r="AO63" s="257">
        <f t="shared" si="25"/>
        <v>0</v>
      </c>
      <c r="AP63" s="257">
        <f t="shared" si="26"/>
        <v>0</v>
      </c>
      <c r="AQ63">
        <f>IF(AND(BC63=""),"",IF(BC63=0,"",1+(MAX(AQ$59:AQ62))))</f>
        <v>1</v>
      </c>
      <c r="AR63" s="256">
        <v>5</v>
      </c>
      <c r="AS63" s="253" t="str">
        <f t="shared" si="73"/>
        <v>ghjkyky tkV</v>
      </c>
      <c r="AT63" s="254" t="str">
        <f t="shared" si="74"/>
        <v>TEACHER-I</v>
      </c>
      <c r="AU63" s="254">
        <f t="shared" si="75"/>
        <v>11</v>
      </c>
      <c r="AV63" s="254">
        <f t="shared" si="76"/>
        <v>49300</v>
      </c>
      <c r="AW63" s="254" t="str">
        <f t="shared" si="77"/>
        <v>RJPA199029003936</v>
      </c>
      <c r="AX63" s="254">
        <f t="shared" si="78"/>
        <v>618998</v>
      </c>
      <c r="AY63" s="254" t="str">
        <f t="shared" si="79"/>
        <v>MALE</v>
      </c>
      <c r="AZ63" s="254" t="str">
        <f t="shared" si="80"/>
        <v>NO</v>
      </c>
      <c r="BA63" s="254" t="str">
        <f t="shared" si="81"/>
        <v>NO</v>
      </c>
      <c r="BB63" s="254" t="str">
        <f t="shared" si="28"/>
        <v>NON GAZETTED - REGULAR</v>
      </c>
      <c r="BC63" s="257">
        <f t="shared" si="29"/>
        <v>1</v>
      </c>
      <c r="BD63" t="str">
        <f>IF(AND(BP63=""),"",IF(BP63=0,"",1+(MAX(BD$59:BD62))))</f>
        <v/>
      </c>
      <c r="BE63" s="135">
        <v>5</v>
      </c>
      <c r="BF63" s="253">
        <f t="shared" si="30"/>
        <v>0</v>
      </c>
      <c r="BG63" s="257">
        <f t="shared" si="31"/>
        <v>0</v>
      </c>
      <c r="BH63" s="257">
        <f t="shared" si="32"/>
        <v>0</v>
      </c>
      <c r="BI63" s="257">
        <f t="shared" si="33"/>
        <v>0</v>
      </c>
      <c r="BJ63" s="257">
        <f t="shared" si="34"/>
        <v>0</v>
      </c>
      <c r="BK63" s="257">
        <f t="shared" si="35"/>
        <v>0</v>
      </c>
      <c r="BL63" s="257">
        <f t="shared" si="36"/>
        <v>0</v>
      </c>
      <c r="BM63" s="257">
        <f t="shared" si="37"/>
        <v>0</v>
      </c>
      <c r="BN63" s="257">
        <f t="shared" si="38"/>
        <v>0</v>
      </c>
      <c r="BO63" s="257">
        <f t="shared" si="39"/>
        <v>0</v>
      </c>
      <c r="BP63" s="257">
        <f t="shared" si="40"/>
        <v>0</v>
      </c>
      <c r="BQ63" t="str">
        <f>IF(AND(CC63=""),"",IF(CC63=0,"",1+(MAX(BQ$59:BQ62))))</f>
        <v/>
      </c>
      <c r="BR63" s="256">
        <v>5</v>
      </c>
      <c r="BS63" s="253">
        <f t="shared" si="41"/>
        <v>0</v>
      </c>
      <c r="BT63" s="257">
        <f t="shared" si="42"/>
        <v>0</v>
      </c>
      <c r="BU63" s="257">
        <f t="shared" si="43"/>
        <v>0</v>
      </c>
      <c r="BV63" s="257">
        <f t="shared" si="44"/>
        <v>0</v>
      </c>
      <c r="BW63" s="257">
        <f t="shared" si="45"/>
        <v>0</v>
      </c>
      <c r="BX63" s="257">
        <f t="shared" si="46"/>
        <v>0</v>
      </c>
      <c r="BY63" s="257">
        <f t="shared" si="47"/>
        <v>0</v>
      </c>
      <c r="BZ63" s="257">
        <f t="shared" si="48"/>
        <v>0</v>
      </c>
      <c r="CA63" s="257">
        <f t="shared" si="49"/>
        <v>0</v>
      </c>
      <c r="CB63" s="257">
        <f t="shared" si="50"/>
        <v>0</v>
      </c>
      <c r="CC63" s="257">
        <f t="shared" si="82"/>
        <v>0</v>
      </c>
      <c r="CD63" t="str">
        <f>IF(AND(CP63=""),"",IF(CP63=0,"",1+(MAX(CD$59:CD62))))</f>
        <v/>
      </c>
      <c r="CE63" s="135">
        <v>5</v>
      </c>
      <c r="CF63" s="253">
        <f t="shared" si="51"/>
        <v>0</v>
      </c>
      <c r="CG63" s="257">
        <f t="shared" si="52"/>
        <v>0</v>
      </c>
      <c r="CH63" s="257">
        <f t="shared" si="53"/>
        <v>0</v>
      </c>
      <c r="CI63" s="257">
        <f t="shared" si="54"/>
        <v>0</v>
      </c>
      <c r="CJ63" s="257">
        <f t="shared" si="55"/>
        <v>0</v>
      </c>
      <c r="CK63" s="257">
        <f t="shared" si="56"/>
        <v>0</v>
      </c>
      <c r="CL63" s="257">
        <f t="shared" si="57"/>
        <v>0</v>
      </c>
      <c r="CM63" s="257">
        <f t="shared" si="58"/>
        <v>0</v>
      </c>
      <c r="CN63" s="257">
        <f t="shared" si="59"/>
        <v>0</v>
      </c>
      <c r="CO63" s="257">
        <f t="shared" si="60"/>
        <v>0</v>
      </c>
      <c r="CP63" s="257">
        <f t="shared" si="61"/>
        <v>0</v>
      </c>
      <c r="CQ63" t="str">
        <f>IF(AND(DC63=""),"",IF(DC63=0,"",1+(MAX(CQ$59:CQ62))))</f>
        <v/>
      </c>
      <c r="CR63" s="135">
        <v>5</v>
      </c>
      <c r="CS63" s="253">
        <f t="shared" si="62"/>
        <v>0</v>
      </c>
      <c r="CT63" s="257">
        <f t="shared" si="63"/>
        <v>0</v>
      </c>
      <c r="CU63" s="257">
        <f t="shared" si="64"/>
        <v>0</v>
      </c>
      <c r="CV63" s="257">
        <f t="shared" si="65"/>
        <v>0</v>
      </c>
      <c r="CW63" s="257">
        <f t="shared" si="66"/>
        <v>0</v>
      </c>
      <c r="CX63" s="257">
        <f t="shared" si="67"/>
        <v>0</v>
      </c>
      <c r="CY63" s="257">
        <f t="shared" si="68"/>
        <v>0</v>
      </c>
      <c r="CZ63" s="257">
        <f t="shared" si="69"/>
        <v>0</v>
      </c>
      <c r="DA63" s="257">
        <f t="shared" si="70"/>
        <v>0</v>
      </c>
      <c r="DB63" s="257">
        <f t="shared" si="71"/>
        <v>0</v>
      </c>
      <c r="DC63" s="257">
        <f t="shared" si="72"/>
        <v>0</v>
      </c>
    </row>
    <row r="64" spans="1:108" ht="20.25">
      <c r="A64" s="36">
        <v>6</v>
      </c>
      <c r="B64" s="62" t="s">
        <v>636</v>
      </c>
      <c r="C64" s="63" t="s">
        <v>70</v>
      </c>
      <c r="D64" s="64">
        <v>11</v>
      </c>
      <c r="E64" s="217">
        <v>41300</v>
      </c>
      <c r="F64" s="217" t="s">
        <v>72</v>
      </c>
      <c r="G64" s="218">
        <v>478236</v>
      </c>
      <c r="H64" s="65" t="s">
        <v>62</v>
      </c>
      <c r="I64" s="65" t="s">
        <v>63</v>
      </c>
      <c r="J64" s="65" t="s">
        <v>63</v>
      </c>
      <c r="K64" s="66" t="s">
        <v>73</v>
      </c>
      <c r="L64" s="75"/>
      <c r="M64" s="75"/>
      <c r="N64" s="75"/>
      <c r="AB64" t="str">
        <f t="shared" si="14"/>
        <v>1984</v>
      </c>
      <c r="AC64">
        <f t="shared" si="15"/>
        <v>0</v>
      </c>
      <c r="AD64" t="str">
        <f>IF(AND(AP64=""),"",IF(AP64=0,"",1+(MAX(AD$59:AD63))))</f>
        <v/>
      </c>
      <c r="AE64" s="135">
        <v>6</v>
      </c>
      <c r="AF64" s="253">
        <f t="shared" si="16"/>
        <v>0</v>
      </c>
      <c r="AG64" s="257">
        <f t="shared" si="17"/>
        <v>0</v>
      </c>
      <c r="AH64" s="257">
        <f t="shared" si="18"/>
        <v>0</v>
      </c>
      <c r="AI64" s="257">
        <f t="shared" si="19"/>
        <v>0</v>
      </c>
      <c r="AJ64" s="257">
        <f t="shared" si="20"/>
        <v>0</v>
      </c>
      <c r="AK64" s="257">
        <f t="shared" si="21"/>
        <v>0</v>
      </c>
      <c r="AL64" s="257">
        <f t="shared" si="22"/>
        <v>0</v>
      </c>
      <c r="AM64" s="257">
        <f t="shared" si="23"/>
        <v>0</v>
      </c>
      <c r="AN64" s="257">
        <f t="shared" si="24"/>
        <v>0</v>
      </c>
      <c r="AO64" s="257">
        <f t="shared" si="25"/>
        <v>0</v>
      </c>
      <c r="AP64" s="257">
        <f t="shared" si="26"/>
        <v>0</v>
      </c>
      <c r="AQ64">
        <f>IF(AND(BC64=""),"",IF(BC64=0,"",1+(MAX(AQ$59:AQ63))))</f>
        <v>2</v>
      </c>
      <c r="AR64" s="256">
        <v>6</v>
      </c>
      <c r="AS64" s="253" t="str">
        <f t="shared" si="73"/>
        <v>egsUnz iVsy</v>
      </c>
      <c r="AT64" s="254" t="str">
        <f t="shared" si="74"/>
        <v>TEACHER-II</v>
      </c>
      <c r="AU64" s="254">
        <f t="shared" si="75"/>
        <v>11</v>
      </c>
      <c r="AV64" s="254">
        <f t="shared" si="76"/>
        <v>41300</v>
      </c>
      <c r="AW64" s="254" t="str">
        <f t="shared" si="77"/>
        <v>RJPA198429005862</v>
      </c>
      <c r="AX64" s="254">
        <f t="shared" si="78"/>
        <v>478236</v>
      </c>
      <c r="AY64" s="254" t="str">
        <f t="shared" si="79"/>
        <v>MALE</v>
      </c>
      <c r="AZ64" s="254" t="str">
        <f t="shared" si="80"/>
        <v>NO</v>
      </c>
      <c r="BA64" s="254" t="str">
        <f t="shared" si="81"/>
        <v>NO</v>
      </c>
      <c r="BB64" s="254" t="str">
        <f t="shared" si="28"/>
        <v>NON GAZETTED - REGULAR</v>
      </c>
      <c r="BC64" s="257">
        <f t="shared" si="29"/>
        <v>1</v>
      </c>
      <c r="BD64" t="str">
        <f>IF(AND(BP64=""),"",IF(BP64=0,"",1+(MAX(BD$59:BD63))))</f>
        <v/>
      </c>
      <c r="BE64" s="135">
        <v>6</v>
      </c>
      <c r="BF64" s="253">
        <f t="shared" si="30"/>
        <v>0</v>
      </c>
      <c r="BG64" s="257">
        <f t="shared" si="31"/>
        <v>0</v>
      </c>
      <c r="BH64" s="257">
        <f t="shared" si="32"/>
        <v>0</v>
      </c>
      <c r="BI64" s="257">
        <f t="shared" si="33"/>
        <v>0</v>
      </c>
      <c r="BJ64" s="257">
        <f t="shared" si="34"/>
        <v>0</v>
      </c>
      <c r="BK64" s="257">
        <f t="shared" si="35"/>
        <v>0</v>
      </c>
      <c r="BL64" s="257">
        <f t="shared" si="36"/>
        <v>0</v>
      </c>
      <c r="BM64" s="257">
        <f t="shared" si="37"/>
        <v>0</v>
      </c>
      <c r="BN64" s="257">
        <f t="shared" si="38"/>
        <v>0</v>
      </c>
      <c r="BO64" s="257">
        <f t="shared" si="39"/>
        <v>0</v>
      </c>
      <c r="BP64" s="257">
        <f t="shared" si="40"/>
        <v>0</v>
      </c>
      <c r="BQ64" t="str">
        <f>IF(AND(CC64=""),"",IF(CC64=0,"",1+(MAX(BQ$59:BQ63))))</f>
        <v/>
      </c>
      <c r="BR64" s="256">
        <v>6</v>
      </c>
      <c r="BS64" s="253">
        <f t="shared" si="41"/>
        <v>0</v>
      </c>
      <c r="BT64" s="257">
        <f t="shared" si="42"/>
        <v>0</v>
      </c>
      <c r="BU64" s="257">
        <f t="shared" si="43"/>
        <v>0</v>
      </c>
      <c r="BV64" s="257">
        <f t="shared" si="44"/>
        <v>0</v>
      </c>
      <c r="BW64" s="257">
        <f t="shared" si="45"/>
        <v>0</v>
      </c>
      <c r="BX64" s="257">
        <f t="shared" si="46"/>
        <v>0</v>
      </c>
      <c r="BY64" s="257">
        <f t="shared" si="47"/>
        <v>0</v>
      </c>
      <c r="BZ64" s="257">
        <f t="shared" si="48"/>
        <v>0</v>
      </c>
      <c r="CA64" s="257">
        <f t="shared" si="49"/>
        <v>0</v>
      </c>
      <c r="CB64" s="257">
        <f t="shared" si="50"/>
        <v>0</v>
      </c>
      <c r="CC64" s="257">
        <f t="shared" si="82"/>
        <v>0</v>
      </c>
      <c r="CD64" t="str">
        <f>IF(AND(CP64=""),"",IF(CP64=0,"",1+(MAX(CD$59:CD63))))</f>
        <v/>
      </c>
      <c r="CE64" s="135">
        <v>6</v>
      </c>
      <c r="CF64" s="253">
        <f t="shared" si="51"/>
        <v>0</v>
      </c>
      <c r="CG64" s="257">
        <f t="shared" si="52"/>
        <v>0</v>
      </c>
      <c r="CH64" s="257">
        <f t="shared" si="53"/>
        <v>0</v>
      </c>
      <c r="CI64" s="257">
        <f t="shared" si="54"/>
        <v>0</v>
      </c>
      <c r="CJ64" s="257">
        <f t="shared" si="55"/>
        <v>0</v>
      </c>
      <c r="CK64" s="257">
        <f t="shared" si="56"/>
        <v>0</v>
      </c>
      <c r="CL64" s="257">
        <f t="shared" si="57"/>
        <v>0</v>
      </c>
      <c r="CM64" s="257">
        <f t="shared" si="58"/>
        <v>0</v>
      </c>
      <c r="CN64" s="257">
        <f t="shared" si="59"/>
        <v>0</v>
      </c>
      <c r="CO64" s="257">
        <f t="shared" si="60"/>
        <v>0</v>
      </c>
      <c r="CP64" s="257">
        <f t="shared" si="61"/>
        <v>0</v>
      </c>
      <c r="CQ64" t="str">
        <f>IF(AND(DC64=""),"",IF(DC64=0,"",1+(MAX(CQ$59:CQ63))))</f>
        <v/>
      </c>
      <c r="CR64" s="256">
        <v>6</v>
      </c>
      <c r="CS64" s="253">
        <f t="shared" si="62"/>
        <v>0</v>
      </c>
      <c r="CT64" s="257">
        <f t="shared" si="63"/>
        <v>0</v>
      </c>
      <c r="CU64" s="257">
        <f t="shared" si="64"/>
        <v>0</v>
      </c>
      <c r="CV64" s="257">
        <f t="shared" si="65"/>
        <v>0</v>
      </c>
      <c r="CW64" s="257">
        <f t="shared" si="66"/>
        <v>0</v>
      </c>
      <c r="CX64" s="257">
        <f t="shared" si="67"/>
        <v>0</v>
      </c>
      <c r="CY64" s="257">
        <f t="shared" si="68"/>
        <v>0</v>
      </c>
      <c r="CZ64" s="257">
        <f t="shared" si="69"/>
        <v>0</v>
      </c>
      <c r="DA64" s="257">
        <f t="shared" si="70"/>
        <v>0</v>
      </c>
      <c r="DB64" s="257">
        <f t="shared" si="71"/>
        <v>0</v>
      </c>
      <c r="DC64" s="257">
        <f t="shared" si="72"/>
        <v>0</v>
      </c>
    </row>
    <row r="65" spans="1:107" ht="20.25">
      <c r="A65" s="36">
        <v>7</v>
      </c>
      <c r="B65" s="62" t="s">
        <v>637</v>
      </c>
      <c r="C65" s="63" t="s">
        <v>70</v>
      </c>
      <c r="D65" s="64">
        <v>12</v>
      </c>
      <c r="E65" s="217">
        <v>69300</v>
      </c>
      <c r="F65" s="217" t="s">
        <v>74</v>
      </c>
      <c r="G65" s="218">
        <v>110021685029</v>
      </c>
      <c r="H65" s="65" t="s">
        <v>62</v>
      </c>
      <c r="I65" s="65" t="s">
        <v>63</v>
      </c>
      <c r="J65" s="65" t="s">
        <v>63</v>
      </c>
      <c r="K65" s="66" t="s">
        <v>73</v>
      </c>
      <c r="L65" s="75"/>
      <c r="M65" s="75"/>
      <c r="N65" s="75"/>
      <c r="AB65" t="str">
        <f t="shared" si="14"/>
        <v>2005</v>
      </c>
      <c r="AC65">
        <f t="shared" si="15"/>
        <v>0</v>
      </c>
      <c r="AD65" t="str">
        <f>IF(AND(AP65=""),"",IF(AP65=0,"",1+(MAX(AD$59:AD64))))</f>
        <v/>
      </c>
      <c r="AE65" s="135">
        <v>7</v>
      </c>
      <c r="AF65" s="253">
        <f t="shared" si="16"/>
        <v>0</v>
      </c>
      <c r="AG65" s="257">
        <f t="shared" si="17"/>
        <v>0</v>
      </c>
      <c r="AH65" s="257">
        <f t="shared" si="18"/>
        <v>0</v>
      </c>
      <c r="AI65" s="257">
        <f t="shared" si="19"/>
        <v>0</v>
      </c>
      <c r="AJ65" s="257">
        <f t="shared" si="20"/>
        <v>0</v>
      </c>
      <c r="AK65" s="257">
        <f t="shared" si="21"/>
        <v>0</v>
      </c>
      <c r="AL65" s="257">
        <f t="shared" si="22"/>
        <v>0</v>
      </c>
      <c r="AM65" s="257">
        <f t="shared" si="23"/>
        <v>0</v>
      </c>
      <c r="AN65" s="257">
        <f t="shared" si="24"/>
        <v>0</v>
      </c>
      <c r="AO65" s="257">
        <f t="shared" si="25"/>
        <v>0</v>
      </c>
      <c r="AP65" s="257">
        <f t="shared" si="26"/>
        <v>0</v>
      </c>
      <c r="AQ65">
        <f>IF(AND(BC65=""),"",IF(BC65=0,"",1+(MAX(AQ$59:AQ64))))</f>
        <v>3</v>
      </c>
      <c r="AR65" s="256">
        <v>7</v>
      </c>
      <c r="AS65" s="253" t="str">
        <f t="shared" si="73"/>
        <v>ekaxhyky jkaxh</v>
      </c>
      <c r="AT65" s="254" t="str">
        <f t="shared" si="74"/>
        <v>TEACHER-II</v>
      </c>
      <c r="AU65" s="254">
        <f t="shared" si="75"/>
        <v>12</v>
      </c>
      <c r="AV65" s="254">
        <f t="shared" si="76"/>
        <v>69300</v>
      </c>
      <c r="AW65" s="254" t="str">
        <f t="shared" si="77"/>
        <v>RJJS200520014380</v>
      </c>
      <c r="AX65" s="254">
        <f t="shared" si="78"/>
        <v>110021685029</v>
      </c>
      <c r="AY65" s="254" t="str">
        <f t="shared" si="79"/>
        <v>MALE</v>
      </c>
      <c r="AZ65" s="254" t="str">
        <f t="shared" si="80"/>
        <v>NO</v>
      </c>
      <c r="BA65" s="254" t="str">
        <f t="shared" si="81"/>
        <v>NO</v>
      </c>
      <c r="BB65" s="254" t="str">
        <f t="shared" si="28"/>
        <v>NON GAZETTED - REGULAR</v>
      </c>
      <c r="BC65" s="257">
        <f t="shared" si="29"/>
        <v>1</v>
      </c>
      <c r="BD65" t="str">
        <f>IF(AND(BP65=""),"",IF(BP65=0,"",1+(MAX(BD$59:BD64))))</f>
        <v/>
      </c>
      <c r="BE65" s="135">
        <v>7</v>
      </c>
      <c r="BF65" s="253">
        <f t="shared" si="30"/>
        <v>0</v>
      </c>
      <c r="BG65" s="257">
        <f t="shared" si="31"/>
        <v>0</v>
      </c>
      <c r="BH65" s="257">
        <f t="shared" si="32"/>
        <v>0</v>
      </c>
      <c r="BI65" s="257">
        <f t="shared" si="33"/>
        <v>0</v>
      </c>
      <c r="BJ65" s="257">
        <f t="shared" si="34"/>
        <v>0</v>
      </c>
      <c r="BK65" s="257">
        <f t="shared" si="35"/>
        <v>0</v>
      </c>
      <c r="BL65" s="257">
        <f t="shared" si="36"/>
        <v>0</v>
      </c>
      <c r="BM65" s="257">
        <f t="shared" si="37"/>
        <v>0</v>
      </c>
      <c r="BN65" s="257">
        <f t="shared" si="38"/>
        <v>0</v>
      </c>
      <c r="BO65" s="257">
        <f t="shared" si="39"/>
        <v>0</v>
      </c>
      <c r="BP65" s="257">
        <f t="shared" si="40"/>
        <v>0</v>
      </c>
      <c r="BQ65" t="str">
        <f>IF(AND(CC65=""),"",IF(CC65=0,"",1+(MAX(BQ$59:BQ64))))</f>
        <v/>
      </c>
      <c r="BR65" s="256">
        <v>7</v>
      </c>
      <c r="BS65" s="253">
        <f t="shared" si="41"/>
        <v>0</v>
      </c>
      <c r="BT65" s="257">
        <f t="shared" si="42"/>
        <v>0</v>
      </c>
      <c r="BU65" s="257">
        <f t="shared" si="43"/>
        <v>0</v>
      </c>
      <c r="BV65" s="257">
        <f t="shared" si="44"/>
        <v>0</v>
      </c>
      <c r="BW65" s="257">
        <f t="shared" si="45"/>
        <v>0</v>
      </c>
      <c r="BX65" s="257">
        <f t="shared" si="46"/>
        <v>0</v>
      </c>
      <c r="BY65" s="257">
        <f t="shared" si="47"/>
        <v>0</v>
      </c>
      <c r="BZ65" s="257">
        <f t="shared" si="48"/>
        <v>0</v>
      </c>
      <c r="CA65" s="257">
        <f t="shared" si="49"/>
        <v>0</v>
      </c>
      <c r="CB65" s="257">
        <f t="shared" si="50"/>
        <v>0</v>
      </c>
      <c r="CC65" s="257">
        <f t="shared" si="82"/>
        <v>0</v>
      </c>
      <c r="CD65" t="str">
        <f>IF(AND(CP65=""),"",IF(CP65=0,"",1+(MAX(CD$59:CD64))))</f>
        <v/>
      </c>
      <c r="CE65" s="135">
        <v>7</v>
      </c>
      <c r="CF65" s="253">
        <f t="shared" si="51"/>
        <v>0</v>
      </c>
      <c r="CG65" s="257">
        <f t="shared" si="52"/>
        <v>0</v>
      </c>
      <c r="CH65" s="257">
        <f t="shared" si="53"/>
        <v>0</v>
      </c>
      <c r="CI65" s="257">
        <f t="shared" si="54"/>
        <v>0</v>
      </c>
      <c r="CJ65" s="257">
        <f t="shared" si="55"/>
        <v>0</v>
      </c>
      <c r="CK65" s="257">
        <f t="shared" si="56"/>
        <v>0</v>
      </c>
      <c r="CL65" s="257">
        <f t="shared" si="57"/>
        <v>0</v>
      </c>
      <c r="CM65" s="257">
        <f t="shared" si="58"/>
        <v>0</v>
      </c>
      <c r="CN65" s="257">
        <f t="shared" si="59"/>
        <v>0</v>
      </c>
      <c r="CO65" s="257">
        <f t="shared" si="60"/>
        <v>0</v>
      </c>
      <c r="CP65" s="257">
        <f t="shared" si="61"/>
        <v>0</v>
      </c>
      <c r="CQ65" t="str">
        <f>IF(AND(DC65=""),"",IF(DC65=0,"",1+(MAX(CQ$59:CQ64))))</f>
        <v/>
      </c>
      <c r="CR65" s="135">
        <v>7</v>
      </c>
      <c r="CS65" s="253">
        <f t="shared" si="62"/>
        <v>0</v>
      </c>
      <c r="CT65" s="257">
        <f t="shared" si="63"/>
        <v>0</v>
      </c>
      <c r="CU65" s="257">
        <f t="shared" si="64"/>
        <v>0</v>
      </c>
      <c r="CV65" s="257">
        <f t="shared" si="65"/>
        <v>0</v>
      </c>
      <c r="CW65" s="257">
        <f t="shared" si="66"/>
        <v>0</v>
      </c>
      <c r="CX65" s="257">
        <f t="shared" si="67"/>
        <v>0</v>
      </c>
      <c r="CY65" s="257">
        <f t="shared" si="68"/>
        <v>0</v>
      </c>
      <c r="CZ65" s="257">
        <f t="shared" si="69"/>
        <v>0</v>
      </c>
      <c r="DA65" s="257">
        <f t="shared" si="70"/>
        <v>0</v>
      </c>
      <c r="DB65" s="257">
        <f t="shared" si="71"/>
        <v>0</v>
      </c>
      <c r="DC65" s="257">
        <f t="shared" si="72"/>
        <v>0</v>
      </c>
    </row>
    <row r="66" spans="1:107" ht="20.25">
      <c r="A66" s="36">
        <v>8</v>
      </c>
      <c r="B66" s="62" t="s">
        <v>638</v>
      </c>
      <c r="C66" s="63" t="s">
        <v>70</v>
      </c>
      <c r="D66" s="64">
        <v>11</v>
      </c>
      <c r="E66" s="217">
        <v>26500</v>
      </c>
      <c r="F66" s="217" t="s">
        <v>76</v>
      </c>
      <c r="G66" s="218">
        <v>479404</v>
      </c>
      <c r="H66" s="65" t="s">
        <v>67</v>
      </c>
      <c r="I66" s="65" t="s">
        <v>85</v>
      </c>
      <c r="J66" s="65" t="s">
        <v>63</v>
      </c>
      <c r="K66" s="66" t="s">
        <v>374</v>
      </c>
      <c r="L66" s="75"/>
      <c r="M66" s="75"/>
      <c r="N66" s="75"/>
      <c r="AB66" t="str">
        <f t="shared" si="14"/>
        <v>1983</v>
      </c>
      <c r="AC66">
        <f t="shared" si="15"/>
        <v>0</v>
      </c>
      <c r="AD66" t="str">
        <f>IF(AND(AP66=""),"",IF(AP66=0,"",1+(MAX(AD$59:AD65))))</f>
        <v/>
      </c>
      <c r="AE66" s="135">
        <v>8</v>
      </c>
      <c r="AF66" s="253">
        <f t="shared" si="16"/>
        <v>0</v>
      </c>
      <c r="AG66" s="257">
        <f t="shared" si="17"/>
        <v>0</v>
      </c>
      <c r="AH66" s="257">
        <f t="shared" si="18"/>
        <v>0</v>
      </c>
      <c r="AI66" s="257">
        <f t="shared" si="19"/>
        <v>0</v>
      </c>
      <c r="AJ66" s="257">
        <f t="shared" si="20"/>
        <v>0</v>
      </c>
      <c r="AK66" s="257">
        <f t="shared" si="21"/>
        <v>0</v>
      </c>
      <c r="AL66" s="257">
        <f t="shared" si="22"/>
        <v>0</v>
      </c>
      <c r="AM66" s="257">
        <f t="shared" si="23"/>
        <v>0</v>
      </c>
      <c r="AN66" s="257">
        <f t="shared" si="24"/>
        <v>0</v>
      </c>
      <c r="AO66" s="257">
        <f t="shared" si="25"/>
        <v>0</v>
      </c>
      <c r="AP66" s="257">
        <f t="shared" si="26"/>
        <v>0</v>
      </c>
      <c r="AQ66" t="str">
        <f>IF(AND(BC66=""),"",IF(BC66=0,"",1+(MAX(AQ$59:AQ65))))</f>
        <v/>
      </c>
      <c r="AR66" s="256">
        <v>8</v>
      </c>
      <c r="AS66" s="253">
        <f t="shared" si="73"/>
        <v>0</v>
      </c>
      <c r="AT66" s="254">
        <f t="shared" si="74"/>
        <v>0</v>
      </c>
      <c r="AU66" s="254">
        <f t="shared" si="75"/>
        <v>0</v>
      </c>
      <c r="AV66" s="254">
        <f t="shared" si="76"/>
        <v>0</v>
      </c>
      <c r="AW66" s="254">
        <f t="shared" si="77"/>
        <v>0</v>
      </c>
      <c r="AX66" s="254">
        <f t="shared" si="78"/>
        <v>0</v>
      </c>
      <c r="AY66" s="254">
        <f t="shared" si="79"/>
        <v>0</v>
      </c>
      <c r="AZ66" s="254">
        <f t="shared" si="80"/>
        <v>0</v>
      </c>
      <c r="BA66" s="254">
        <f t="shared" si="81"/>
        <v>0</v>
      </c>
      <c r="BB66" s="254">
        <f t="shared" si="28"/>
        <v>0</v>
      </c>
      <c r="BC66" s="257">
        <f t="shared" si="29"/>
        <v>0</v>
      </c>
      <c r="BD66" t="str">
        <f>IF(AND(BP66=""),"",IF(BP66=0,"",1+(MAX(BD$59:BD65))))</f>
        <v/>
      </c>
      <c r="BE66" s="135">
        <v>8</v>
      </c>
      <c r="BF66" s="253">
        <f t="shared" si="30"/>
        <v>0</v>
      </c>
      <c r="BG66" s="257">
        <f t="shared" si="31"/>
        <v>0</v>
      </c>
      <c r="BH66" s="257">
        <f t="shared" si="32"/>
        <v>0</v>
      </c>
      <c r="BI66" s="257">
        <f t="shared" si="33"/>
        <v>0</v>
      </c>
      <c r="BJ66" s="257">
        <f t="shared" si="34"/>
        <v>0</v>
      </c>
      <c r="BK66" s="257">
        <f t="shared" si="35"/>
        <v>0</v>
      </c>
      <c r="BL66" s="257">
        <f t="shared" si="36"/>
        <v>0</v>
      </c>
      <c r="BM66" s="257">
        <f t="shared" si="37"/>
        <v>0</v>
      </c>
      <c r="BN66" s="257">
        <f t="shared" si="38"/>
        <v>0</v>
      </c>
      <c r="BO66" s="257">
        <f t="shared" si="39"/>
        <v>0</v>
      </c>
      <c r="BP66" s="257">
        <f t="shared" si="40"/>
        <v>0</v>
      </c>
      <c r="BQ66">
        <f>IF(AND(CC66=""),"",IF(CC66=0,"",1+(MAX(BQ$59:BQ65))))</f>
        <v>1</v>
      </c>
      <c r="BR66" s="256">
        <v>8</v>
      </c>
      <c r="BS66" s="253" t="str">
        <f t="shared" si="41"/>
        <v>lqeu dqekjh lSuh</v>
      </c>
      <c r="BT66" s="257" t="str">
        <f t="shared" si="42"/>
        <v>TEACHER-II</v>
      </c>
      <c r="BU66" s="257">
        <f t="shared" si="43"/>
        <v>11</v>
      </c>
      <c r="BV66" s="257">
        <f t="shared" si="44"/>
        <v>26500</v>
      </c>
      <c r="BW66" s="257" t="str">
        <f t="shared" si="45"/>
        <v>RJPA198329015446</v>
      </c>
      <c r="BX66" s="257">
        <f t="shared" si="46"/>
        <v>479404</v>
      </c>
      <c r="BY66" s="257" t="str">
        <f t="shared" si="47"/>
        <v>FEMALE</v>
      </c>
      <c r="BZ66" s="257" t="str">
        <f t="shared" si="48"/>
        <v>YES</v>
      </c>
      <c r="CA66" s="257" t="str">
        <f t="shared" si="49"/>
        <v>NO</v>
      </c>
      <c r="CB66" s="257" t="str">
        <f t="shared" si="50"/>
        <v>NON GAZETTED - FIX PAY</v>
      </c>
      <c r="CC66" s="257">
        <f t="shared" si="82"/>
        <v>1</v>
      </c>
      <c r="CD66" t="str">
        <f>IF(AND(CP66=""),"",IF(CP66=0,"",1+(MAX(CD$59:CD65))))</f>
        <v/>
      </c>
      <c r="CE66" s="135">
        <v>8</v>
      </c>
      <c r="CF66" s="253">
        <f t="shared" si="51"/>
        <v>0</v>
      </c>
      <c r="CG66" s="257">
        <f t="shared" si="52"/>
        <v>0</v>
      </c>
      <c r="CH66" s="257">
        <f t="shared" si="53"/>
        <v>0</v>
      </c>
      <c r="CI66" s="257">
        <f t="shared" si="54"/>
        <v>0</v>
      </c>
      <c r="CJ66" s="257">
        <f t="shared" si="55"/>
        <v>0</v>
      </c>
      <c r="CK66" s="257">
        <f t="shared" si="56"/>
        <v>0</v>
      </c>
      <c r="CL66" s="257">
        <f t="shared" si="57"/>
        <v>0</v>
      </c>
      <c r="CM66" s="257">
        <f t="shared" si="58"/>
        <v>0</v>
      </c>
      <c r="CN66" s="257">
        <f t="shared" si="59"/>
        <v>0</v>
      </c>
      <c r="CO66" s="257">
        <f t="shared" si="60"/>
        <v>0</v>
      </c>
      <c r="CP66" s="257">
        <f t="shared" si="61"/>
        <v>0</v>
      </c>
      <c r="CQ66" t="str">
        <f>IF(AND(DC66=""),"",IF(DC66=0,"",1+(MAX(CQ$59:CQ65))))</f>
        <v/>
      </c>
      <c r="CR66" s="256">
        <v>8</v>
      </c>
      <c r="CS66" s="253">
        <f t="shared" si="62"/>
        <v>0</v>
      </c>
      <c r="CT66" s="257">
        <f t="shared" si="63"/>
        <v>0</v>
      </c>
      <c r="CU66" s="257">
        <f t="shared" si="64"/>
        <v>0</v>
      </c>
      <c r="CV66" s="257">
        <f t="shared" si="65"/>
        <v>0</v>
      </c>
      <c r="CW66" s="257">
        <f t="shared" si="66"/>
        <v>0</v>
      </c>
      <c r="CX66" s="257">
        <f t="shared" si="67"/>
        <v>0</v>
      </c>
      <c r="CY66" s="257">
        <f t="shared" si="68"/>
        <v>0</v>
      </c>
      <c r="CZ66" s="257">
        <f t="shared" si="69"/>
        <v>0</v>
      </c>
      <c r="DA66" s="257">
        <f t="shared" si="70"/>
        <v>0</v>
      </c>
      <c r="DB66" s="257">
        <f t="shared" si="71"/>
        <v>0</v>
      </c>
      <c r="DC66" s="257">
        <f t="shared" si="72"/>
        <v>0</v>
      </c>
    </row>
    <row r="67" spans="1:107" ht="20.25">
      <c r="A67" s="36">
        <v>9</v>
      </c>
      <c r="B67" s="62" t="s">
        <v>639</v>
      </c>
      <c r="C67" s="63" t="s">
        <v>75</v>
      </c>
      <c r="D67" s="64">
        <v>10</v>
      </c>
      <c r="E67" s="217">
        <v>50800</v>
      </c>
      <c r="F67" s="217" t="s">
        <v>77</v>
      </c>
      <c r="G67" s="218">
        <v>599678</v>
      </c>
      <c r="H67" s="65" t="s">
        <v>62</v>
      </c>
      <c r="I67" s="65" t="s">
        <v>63</v>
      </c>
      <c r="J67" s="65" t="s">
        <v>63</v>
      </c>
      <c r="K67" s="66" t="s">
        <v>73</v>
      </c>
      <c r="L67" s="75"/>
      <c r="M67" s="75"/>
      <c r="N67" s="75"/>
      <c r="AB67" t="str">
        <f t="shared" si="14"/>
        <v>1987</v>
      </c>
      <c r="AC67">
        <f t="shared" si="15"/>
        <v>0</v>
      </c>
      <c r="AD67" t="str">
        <f>IF(AND(AP67=""),"",IF(AP67=0,"",1+(MAX(AD$59:AD66))))</f>
        <v/>
      </c>
      <c r="AE67" s="135">
        <v>9</v>
      </c>
      <c r="AF67" s="253">
        <f t="shared" si="16"/>
        <v>0</v>
      </c>
      <c r="AG67" s="257">
        <f t="shared" si="17"/>
        <v>0</v>
      </c>
      <c r="AH67" s="257">
        <f t="shared" si="18"/>
        <v>0</v>
      </c>
      <c r="AI67" s="257">
        <f t="shared" si="19"/>
        <v>0</v>
      </c>
      <c r="AJ67" s="257">
        <f t="shared" si="20"/>
        <v>0</v>
      </c>
      <c r="AK67" s="257">
        <f t="shared" si="21"/>
        <v>0</v>
      </c>
      <c r="AL67" s="257">
        <f t="shared" si="22"/>
        <v>0</v>
      </c>
      <c r="AM67" s="257">
        <f t="shared" si="23"/>
        <v>0</v>
      </c>
      <c r="AN67" s="257">
        <f t="shared" si="24"/>
        <v>0</v>
      </c>
      <c r="AO67" s="257">
        <f t="shared" si="25"/>
        <v>0</v>
      </c>
      <c r="AP67" s="257">
        <f t="shared" si="26"/>
        <v>0</v>
      </c>
      <c r="AQ67">
        <f>IF(AND(BC67=""),"",IF(BC67=0,"",1+(MAX(AQ$59:AQ66))))</f>
        <v>4</v>
      </c>
      <c r="AR67" s="256">
        <v>9</v>
      </c>
      <c r="AS67" s="253" t="str">
        <f t="shared" si="73"/>
        <v>lqjs'k dqekj vknjk</v>
      </c>
      <c r="AT67" s="254" t="str">
        <f t="shared" si="74"/>
        <v>TEACHER-III</v>
      </c>
      <c r="AU67" s="254">
        <f t="shared" si="75"/>
        <v>10</v>
      </c>
      <c r="AV67" s="254">
        <f t="shared" si="76"/>
        <v>50800</v>
      </c>
      <c r="AW67" s="254" t="str">
        <f t="shared" si="77"/>
        <v>RJPA198729017770</v>
      </c>
      <c r="AX67" s="254">
        <f t="shared" si="78"/>
        <v>599678</v>
      </c>
      <c r="AY67" s="254" t="str">
        <f t="shared" si="79"/>
        <v>MALE</v>
      </c>
      <c r="AZ67" s="254" t="str">
        <f t="shared" si="80"/>
        <v>NO</v>
      </c>
      <c r="BA67" s="254" t="str">
        <f t="shared" si="81"/>
        <v>NO</v>
      </c>
      <c r="BB67" s="254" t="str">
        <f t="shared" si="28"/>
        <v>NON GAZETTED - REGULAR</v>
      </c>
      <c r="BC67" s="257">
        <f t="shared" si="29"/>
        <v>1</v>
      </c>
      <c r="BD67" t="str">
        <f>IF(AND(BP67=""),"",IF(BP67=0,"",1+(MAX(BD$59:BD66))))</f>
        <v/>
      </c>
      <c r="BE67" s="135">
        <v>9</v>
      </c>
      <c r="BF67" s="253">
        <f t="shared" si="30"/>
        <v>0</v>
      </c>
      <c r="BG67" s="257">
        <f t="shared" si="31"/>
        <v>0</v>
      </c>
      <c r="BH67" s="257">
        <f t="shared" si="32"/>
        <v>0</v>
      </c>
      <c r="BI67" s="257">
        <f t="shared" si="33"/>
        <v>0</v>
      </c>
      <c r="BJ67" s="257">
        <f t="shared" si="34"/>
        <v>0</v>
      </c>
      <c r="BK67" s="257">
        <f t="shared" si="35"/>
        <v>0</v>
      </c>
      <c r="BL67" s="257">
        <f t="shared" si="36"/>
        <v>0</v>
      </c>
      <c r="BM67" s="257">
        <f t="shared" si="37"/>
        <v>0</v>
      </c>
      <c r="BN67" s="257">
        <f t="shared" si="38"/>
        <v>0</v>
      </c>
      <c r="BO67" s="257">
        <f t="shared" si="39"/>
        <v>0</v>
      </c>
      <c r="BP67" s="257">
        <f t="shared" si="40"/>
        <v>0</v>
      </c>
      <c r="BQ67" t="str">
        <f>IF(AND(CC67=""),"",IF(CC67=0,"",1+(MAX(BQ$59:BQ66))))</f>
        <v/>
      </c>
      <c r="BR67" s="256">
        <v>9</v>
      </c>
      <c r="BS67" s="253">
        <f t="shared" si="41"/>
        <v>0</v>
      </c>
      <c r="BT67" s="257">
        <f t="shared" si="42"/>
        <v>0</v>
      </c>
      <c r="BU67" s="257">
        <f t="shared" si="43"/>
        <v>0</v>
      </c>
      <c r="BV67" s="257">
        <f t="shared" si="44"/>
        <v>0</v>
      </c>
      <c r="BW67" s="257">
        <f t="shared" si="45"/>
        <v>0</v>
      </c>
      <c r="BX67" s="257">
        <f t="shared" si="46"/>
        <v>0</v>
      </c>
      <c r="BY67" s="257">
        <f t="shared" si="47"/>
        <v>0</v>
      </c>
      <c r="BZ67" s="257">
        <f t="shared" si="48"/>
        <v>0</v>
      </c>
      <c r="CA67" s="257">
        <f t="shared" si="49"/>
        <v>0</v>
      </c>
      <c r="CB67" s="257">
        <f t="shared" si="50"/>
        <v>0</v>
      </c>
      <c r="CC67" s="257">
        <f t="shared" si="82"/>
        <v>0</v>
      </c>
      <c r="CD67" t="str">
        <f>IF(AND(CP67=""),"",IF(CP67=0,"",1+(MAX(CD$59:CD66))))</f>
        <v/>
      </c>
      <c r="CE67" s="135">
        <v>9</v>
      </c>
      <c r="CF67" s="253">
        <f t="shared" si="51"/>
        <v>0</v>
      </c>
      <c r="CG67" s="257">
        <f t="shared" si="52"/>
        <v>0</v>
      </c>
      <c r="CH67" s="257">
        <f t="shared" si="53"/>
        <v>0</v>
      </c>
      <c r="CI67" s="257">
        <f t="shared" si="54"/>
        <v>0</v>
      </c>
      <c r="CJ67" s="257">
        <f t="shared" si="55"/>
        <v>0</v>
      </c>
      <c r="CK67" s="257">
        <f t="shared" si="56"/>
        <v>0</v>
      </c>
      <c r="CL67" s="257">
        <f t="shared" si="57"/>
        <v>0</v>
      </c>
      <c r="CM67" s="257">
        <f t="shared" si="58"/>
        <v>0</v>
      </c>
      <c r="CN67" s="257">
        <f t="shared" si="59"/>
        <v>0</v>
      </c>
      <c r="CO67" s="257">
        <f t="shared" si="60"/>
        <v>0</v>
      </c>
      <c r="CP67" s="257">
        <f t="shared" si="61"/>
        <v>0</v>
      </c>
      <c r="CQ67" t="str">
        <f>IF(AND(DC67=""),"",IF(DC67=0,"",1+(MAX(CQ$59:CQ66))))</f>
        <v/>
      </c>
      <c r="CR67" s="135">
        <v>9</v>
      </c>
      <c r="CS67" s="253">
        <f t="shared" si="62"/>
        <v>0</v>
      </c>
      <c r="CT67" s="257">
        <f t="shared" si="63"/>
        <v>0</v>
      </c>
      <c r="CU67" s="257">
        <f t="shared" si="64"/>
        <v>0</v>
      </c>
      <c r="CV67" s="257">
        <f t="shared" si="65"/>
        <v>0</v>
      </c>
      <c r="CW67" s="257">
        <f t="shared" si="66"/>
        <v>0</v>
      </c>
      <c r="CX67" s="257">
        <f t="shared" si="67"/>
        <v>0</v>
      </c>
      <c r="CY67" s="257">
        <f t="shared" si="68"/>
        <v>0</v>
      </c>
      <c r="CZ67" s="257">
        <f t="shared" si="69"/>
        <v>0</v>
      </c>
      <c r="DA67" s="257">
        <f t="shared" si="70"/>
        <v>0</v>
      </c>
      <c r="DB67" s="257">
        <f t="shared" si="71"/>
        <v>0</v>
      </c>
      <c r="DC67" s="257">
        <f t="shared" si="72"/>
        <v>0</v>
      </c>
    </row>
    <row r="68" spans="1:107" ht="20.25">
      <c r="A68" s="36">
        <v>10</v>
      </c>
      <c r="B68" s="62" t="s">
        <v>640</v>
      </c>
      <c r="C68" s="63" t="s">
        <v>75</v>
      </c>
      <c r="D68" s="64">
        <v>10</v>
      </c>
      <c r="E68" s="217">
        <v>45600</v>
      </c>
      <c r="F68" s="217" t="s">
        <v>78</v>
      </c>
      <c r="G68" s="218">
        <v>619670</v>
      </c>
      <c r="H68" s="65" t="s">
        <v>62</v>
      </c>
      <c r="I68" s="65" t="s">
        <v>63</v>
      </c>
      <c r="J68" s="65" t="s">
        <v>63</v>
      </c>
      <c r="K68" s="66" t="s">
        <v>73</v>
      </c>
      <c r="L68" s="75"/>
      <c r="M68" s="75"/>
      <c r="N68" s="75"/>
      <c r="AB68" t="str">
        <f t="shared" si="14"/>
        <v>1989</v>
      </c>
      <c r="AC68">
        <f t="shared" si="15"/>
        <v>0</v>
      </c>
      <c r="AD68" t="str">
        <f>IF(AND(AP68=""),"",IF(AP68=0,"",1+(MAX(AD$59:AD67))))</f>
        <v/>
      </c>
      <c r="AE68" s="135">
        <v>10</v>
      </c>
      <c r="AF68" s="253">
        <f t="shared" si="16"/>
        <v>0</v>
      </c>
      <c r="AG68" s="257">
        <f t="shared" si="17"/>
        <v>0</v>
      </c>
      <c r="AH68" s="257">
        <f t="shared" si="18"/>
        <v>0</v>
      </c>
      <c r="AI68" s="257">
        <f t="shared" si="19"/>
        <v>0</v>
      </c>
      <c r="AJ68" s="257">
        <f t="shared" si="20"/>
        <v>0</v>
      </c>
      <c r="AK68" s="257">
        <f t="shared" si="21"/>
        <v>0</v>
      </c>
      <c r="AL68" s="257">
        <f t="shared" si="22"/>
        <v>0</v>
      </c>
      <c r="AM68" s="257">
        <f t="shared" si="23"/>
        <v>0</v>
      </c>
      <c r="AN68" s="257">
        <f t="shared" si="24"/>
        <v>0</v>
      </c>
      <c r="AO68" s="257">
        <f t="shared" si="25"/>
        <v>0</v>
      </c>
      <c r="AP68" s="257">
        <f t="shared" si="26"/>
        <v>0</v>
      </c>
      <c r="AQ68">
        <f>IF(AND(BC68=""),"",IF(BC68=0,"",1+(MAX(AQ$59:AQ67))))</f>
        <v>5</v>
      </c>
      <c r="AR68" s="256">
        <v>10</v>
      </c>
      <c r="AS68" s="253" t="str">
        <f t="shared" si="73"/>
        <v>vtquflag</v>
      </c>
      <c r="AT68" s="254" t="str">
        <f t="shared" si="74"/>
        <v>TEACHER-III</v>
      </c>
      <c r="AU68" s="254">
        <f t="shared" si="75"/>
        <v>10</v>
      </c>
      <c r="AV68" s="254">
        <f t="shared" si="76"/>
        <v>45600</v>
      </c>
      <c r="AW68" s="254" t="str">
        <f t="shared" si="77"/>
        <v>RJPA198929015480</v>
      </c>
      <c r="AX68" s="254">
        <f t="shared" si="78"/>
        <v>619670</v>
      </c>
      <c r="AY68" s="254" t="str">
        <f t="shared" si="79"/>
        <v>MALE</v>
      </c>
      <c r="AZ68" s="254" t="str">
        <f t="shared" si="80"/>
        <v>NO</v>
      </c>
      <c r="BA68" s="254" t="str">
        <f t="shared" si="81"/>
        <v>NO</v>
      </c>
      <c r="BB68" s="254" t="str">
        <f t="shared" si="28"/>
        <v>NON GAZETTED - REGULAR</v>
      </c>
      <c r="BC68" s="257">
        <f t="shared" si="29"/>
        <v>1</v>
      </c>
      <c r="BD68" t="str">
        <f>IF(AND(BP68=""),"",IF(BP68=0,"",1+(MAX(BD$59:BD67))))</f>
        <v/>
      </c>
      <c r="BE68" s="135">
        <v>10</v>
      </c>
      <c r="BF68" s="253">
        <f t="shared" si="30"/>
        <v>0</v>
      </c>
      <c r="BG68" s="257">
        <f t="shared" si="31"/>
        <v>0</v>
      </c>
      <c r="BH68" s="257">
        <f t="shared" si="32"/>
        <v>0</v>
      </c>
      <c r="BI68" s="257">
        <f t="shared" si="33"/>
        <v>0</v>
      </c>
      <c r="BJ68" s="257">
        <f t="shared" si="34"/>
        <v>0</v>
      </c>
      <c r="BK68" s="257">
        <f t="shared" si="35"/>
        <v>0</v>
      </c>
      <c r="BL68" s="257">
        <f t="shared" si="36"/>
        <v>0</v>
      </c>
      <c r="BM68" s="257">
        <f t="shared" si="37"/>
        <v>0</v>
      </c>
      <c r="BN68" s="257">
        <f t="shared" si="38"/>
        <v>0</v>
      </c>
      <c r="BO68" s="257">
        <f t="shared" si="39"/>
        <v>0</v>
      </c>
      <c r="BP68" s="257">
        <f t="shared" si="40"/>
        <v>0</v>
      </c>
      <c r="BQ68" t="str">
        <f>IF(AND(CC68=""),"",IF(CC68=0,"",1+(MAX(BQ$59:BQ67))))</f>
        <v/>
      </c>
      <c r="BR68" s="256">
        <v>10</v>
      </c>
      <c r="BS68" s="253">
        <f t="shared" si="41"/>
        <v>0</v>
      </c>
      <c r="BT68" s="257">
        <f t="shared" si="42"/>
        <v>0</v>
      </c>
      <c r="BU68" s="257">
        <f t="shared" si="43"/>
        <v>0</v>
      </c>
      <c r="BV68" s="257">
        <f t="shared" si="44"/>
        <v>0</v>
      </c>
      <c r="BW68" s="257">
        <f t="shared" si="45"/>
        <v>0</v>
      </c>
      <c r="BX68" s="257">
        <f t="shared" si="46"/>
        <v>0</v>
      </c>
      <c r="BY68" s="257">
        <f t="shared" si="47"/>
        <v>0</v>
      </c>
      <c r="BZ68" s="257">
        <f t="shared" si="48"/>
        <v>0</v>
      </c>
      <c r="CA68" s="257">
        <f t="shared" si="49"/>
        <v>0</v>
      </c>
      <c r="CB68" s="257">
        <f t="shared" si="50"/>
        <v>0</v>
      </c>
      <c r="CC68" s="257">
        <f t="shared" si="82"/>
        <v>0</v>
      </c>
      <c r="CD68" t="str">
        <f>IF(AND(CP68=""),"",IF(CP68=0,"",1+(MAX(CD$59:CD67))))</f>
        <v/>
      </c>
      <c r="CE68" s="135">
        <v>10</v>
      </c>
      <c r="CF68" s="253">
        <f t="shared" si="51"/>
        <v>0</v>
      </c>
      <c r="CG68" s="257">
        <f t="shared" si="52"/>
        <v>0</v>
      </c>
      <c r="CH68" s="257">
        <f t="shared" si="53"/>
        <v>0</v>
      </c>
      <c r="CI68" s="257">
        <f t="shared" si="54"/>
        <v>0</v>
      </c>
      <c r="CJ68" s="257">
        <f t="shared" si="55"/>
        <v>0</v>
      </c>
      <c r="CK68" s="257">
        <f t="shared" si="56"/>
        <v>0</v>
      </c>
      <c r="CL68" s="257">
        <f t="shared" si="57"/>
        <v>0</v>
      </c>
      <c r="CM68" s="257">
        <f t="shared" si="58"/>
        <v>0</v>
      </c>
      <c r="CN68" s="257">
        <f t="shared" si="59"/>
        <v>0</v>
      </c>
      <c r="CO68" s="257">
        <f t="shared" si="60"/>
        <v>0</v>
      </c>
      <c r="CP68" s="257">
        <f t="shared" si="61"/>
        <v>0</v>
      </c>
      <c r="CQ68" t="str">
        <f>IF(AND(DC68=""),"",IF(DC68=0,"",1+(MAX(CQ$59:CQ67))))</f>
        <v/>
      </c>
      <c r="CR68" s="256">
        <v>10</v>
      </c>
      <c r="CS68" s="253">
        <f t="shared" si="62"/>
        <v>0</v>
      </c>
      <c r="CT68" s="257">
        <f t="shared" si="63"/>
        <v>0</v>
      </c>
      <c r="CU68" s="257">
        <f t="shared" si="64"/>
        <v>0</v>
      </c>
      <c r="CV68" s="257">
        <f t="shared" si="65"/>
        <v>0</v>
      </c>
      <c r="CW68" s="257">
        <f t="shared" si="66"/>
        <v>0</v>
      </c>
      <c r="CX68" s="257">
        <f t="shared" si="67"/>
        <v>0</v>
      </c>
      <c r="CY68" s="257">
        <f t="shared" si="68"/>
        <v>0</v>
      </c>
      <c r="CZ68" s="257">
        <f t="shared" si="69"/>
        <v>0</v>
      </c>
      <c r="DA68" s="257">
        <f t="shared" si="70"/>
        <v>0</v>
      </c>
      <c r="DB68" s="257">
        <f t="shared" si="71"/>
        <v>0</v>
      </c>
      <c r="DC68" s="257">
        <f t="shared" si="72"/>
        <v>0</v>
      </c>
    </row>
    <row r="69" spans="1:107" ht="20.25">
      <c r="A69" s="36">
        <v>11</v>
      </c>
      <c r="B69" s="62" t="s">
        <v>641</v>
      </c>
      <c r="C69" s="63" t="s">
        <v>75</v>
      </c>
      <c r="D69" s="64">
        <v>10</v>
      </c>
      <c r="E69" s="217">
        <v>69300</v>
      </c>
      <c r="F69" s="217" t="s">
        <v>79</v>
      </c>
      <c r="G69" s="218">
        <v>111002730880</v>
      </c>
      <c r="H69" s="65" t="s">
        <v>62</v>
      </c>
      <c r="I69" s="65" t="s">
        <v>63</v>
      </c>
      <c r="J69" s="65" t="s">
        <v>63</v>
      </c>
      <c r="K69" s="66" t="s">
        <v>73</v>
      </c>
      <c r="L69" s="75"/>
      <c r="M69" s="75"/>
      <c r="N69" s="75"/>
      <c r="AB69" t="str">
        <f t="shared" si="14"/>
        <v>2007</v>
      </c>
      <c r="AC69">
        <f t="shared" si="15"/>
        <v>0</v>
      </c>
      <c r="AD69" t="str">
        <f>IF(AND(AP69=""),"",IF(AP69=0,"",1+(MAX(AD$59:AD68))))</f>
        <v/>
      </c>
      <c r="AE69" s="135">
        <v>11</v>
      </c>
      <c r="AF69" s="253">
        <f t="shared" si="16"/>
        <v>0</v>
      </c>
      <c r="AG69" s="257">
        <f t="shared" si="17"/>
        <v>0</v>
      </c>
      <c r="AH69" s="257">
        <f t="shared" si="18"/>
        <v>0</v>
      </c>
      <c r="AI69" s="257">
        <f t="shared" si="19"/>
        <v>0</v>
      </c>
      <c r="AJ69" s="257">
        <f t="shared" si="20"/>
        <v>0</v>
      </c>
      <c r="AK69" s="257">
        <f t="shared" si="21"/>
        <v>0</v>
      </c>
      <c r="AL69" s="257">
        <f t="shared" si="22"/>
        <v>0</v>
      </c>
      <c r="AM69" s="257">
        <f t="shared" si="23"/>
        <v>0</v>
      </c>
      <c r="AN69" s="257">
        <f t="shared" si="24"/>
        <v>0</v>
      </c>
      <c r="AO69" s="257">
        <f t="shared" si="25"/>
        <v>0</v>
      </c>
      <c r="AP69" s="257">
        <f t="shared" si="26"/>
        <v>0</v>
      </c>
      <c r="AQ69">
        <f>IF(AND(BC69=""),"",IF(BC69=0,"",1+(MAX(AQ$59:AQ68))))</f>
        <v>6</v>
      </c>
      <c r="AR69" s="256">
        <v>11</v>
      </c>
      <c r="AS69" s="253" t="str">
        <f t="shared" si="73"/>
        <v>Hkykjke</v>
      </c>
      <c r="AT69" s="254" t="str">
        <f t="shared" si="74"/>
        <v>TEACHER-III</v>
      </c>
      <c r="AU69" s="254">
        <f t="shared" si="75"/>
        <v>10</v>
      </c>
      <c r="AV69" s="254">
        <f t="shared" si="76"/>
        <v>69300</v>
      </c>
      <c r="AW69" s="254" t="str">
        <f t="shared" si="77"/>
        <v>RJPA200729000663</v>
      </c>
      <c r="AX69" s="254">
        <f t="shared" si="78"/>
        <v>111002730880</v>
      </c>
      <c r="AY69" s="254" t="str">
        <f t="shared" si="79"/>
        <v>MALE</v>
      </c>
      <c r="AZ69" s="254" t="str">
        <f t="shared" si="80"/>
        <v>NO</v>
      </c>
      <c r="BA69" s="254" t="str">
        <f t="shared" si="81"/>
        <v>NO</v>
      </c>
      <c r="BB69" s="254" t="str">
        <f t="shared" si="28"/>
        <v>NON GAZETTED - REGULAR</v>
      </c>
      <c r="BC69" s="257">
        <f t="shared" si="29"/>
        <v>1</v>
      </c>
      <c r="BD69" t="str">
        <f>IF(AND(BP69=""),"",IF(BP69=0,"",1+(MAX(BD$59:BD68))))</f>
        <v/>
      </c>
      <c r="BE69" s="135">
        <v>11</v>
      </c>
      <c r="BF69" s="253">
        <f t="shared" si="30"/>
        <v>0</v>
      </c>
      <c r="BG69" s="257">
        <f t="shared" si="31"/>
        <v>0</v>
      </c>
      <c r="BH69" s="257">
        <f t="shared" si="32"/>
        <v>0</v>
      </c>
      <c r="BI69" s="257">
        <f t="shared" si="33"/>
        <v>0</v>
      </c>
      <c r="BJ69" s="257">
        <f t="shared" si="34"/>
        <v>0</v>
      </c>
      <c r="BK69" s="257">
        <f t="shared" si="35"/>
        <v>0</v>
      </c>
      <c r="BL69" s="257">
        <f t="shared" si="36"/>
        <v>0</v>
      </c>
      <c r="BM69" s="257">
        <f t="shared" si="37"/>
        <v>0</v>
      </c>
      <c r="BN69" s="257">
        <f t="shared" si="38"/>
        <v>0</v>
      </c>
      <c r="BO69" s="257">
        <f t="shared" si="39"/>
        <v>0</v>
      </c>
      <c r="BP69" s="257">
        <f t="shared" si="40"/>
        <v>0</v>
      </c>
      <c r="BQ69" t="str">
        <f>IF(AND(CC69=""),"",IF(CC69=0,"",1+(MAX(BQ$59:BQ68))))</f>
        <v/>
      </c>
      <c r="BR69" s="256">
        <v>11</v>
      </c>
      <c r="BS69" s="253">
        <f t="shared" si="41"/>
        <v>0</v>
      </c>
      <c r="BT69" s="257">
        <f t="shared" si="42"/>
        <v>0</v>
      </c>
      <c r="BU69" s="257">
        <f t="shared" si="43"/>
        <v>0</v>
      </c>
      <c r="BV69" s="257">
        <f t="shared" si="44"/>
        <v>0</v>
      </c>
      <c r="BW69" s="257">
        <f t="shared" si="45"/>
        <v>0</v>
      </c>
      <c r="BX69" s="257">
        <f t="shared" si="46"/>
        <v>0</v>
      </c>
      <c r="BY69" s="257">
        <f t="shared" si="47"/>
        <v>0</v>
      </c>
      <c r="BZ69" s="257">
        <f t="shared" si="48"/>
        <v>0</v>
      </c>
      <c r="CA69" s="257">
        <f t="shared" si="49"/>
        <v>0</v>
      </c>
      <c r="CB69" s="257">
        <f t="shared" si="50"/>
        <v>0</v>
      </c>
      <c r="CC69" s="257">
        <f t="shared" si="82"/>
        <v>0</v>
      </c>
      <c r="CD69" t="str">
        <f>IF(AND(CP69=""),"",IF(CP69=0,"",1+(MAX(CD$59:CD68))))</f>
        <v/>
      </c>
      <c r="CE69" s="135">
        <v>11</v>
      </c>
      <c r="CF69" s="253">
        <f t="shared" si="51"/>
        <v>0</v>
      </c>
      <c r="CG69" s="257">
        <f t="shared" si="52"/>
        <v>0</v>
      </c>
      <c r="CH69" s="257">
        <f t="shared" si="53"/>
        <v>0</v>
      </c>
      <c r="CI69" s="257">
        <f t="shared" si="54"/>
        <v>0</v>
      </c>
      <c r="CJ69" s="257">
        <f t="shared" si="55"/>
        <v>0</v>
      </c>
      <c r="CK69" s="257">
        <f t="shared" si="56"/>
        <v>0</v>
      </c>
      <c r="CL69" s="257">
        <f t="shared" si="57"/>
        <v>0</v>
      </c>
      <c r="CM69" s="257">
        <f t="shared" si="58"/>
        <v>0</v>
      </c>
      <c r="CN69" s="257">
        <f t="shared" si="59"/>
        <v>0</v>
      </c>
      <c r="CO69" s="257">
        <f t="shared" si="60"/>
        <v>0</v>
      </c>
      <c r="CP69" s="257">
        <f t="shared" si="61"/>
        <v>0</v>
      </c>
      <c r="CQ69" t="str">
        <f>IF(AND(DC69=""),"",IF(DC69=0,"",1+(MAX(CQ$59:CQ68))))</f>
        <v/>
      </c>
      <c r="CR69" s="135">
        <v>11</v>
      </c>
      <c r="CS69" s="253">
        <f t="shared" si="62"/>
        <v>0</v>
      </c>
      <c r="CT69" s="257">
        <f t="shared" si="63"/>
        <v>0</v>
      </c>
      <c r="CU69" s="257">
        <f t="shared" si="64"/>
        <v>0</v>
      </c>
      <c r="CV69" s="257">
        <f t="shared" si="65"/>
        <v>0</v>
      </c>
      <c r="CW69" s="257">
        <f t="shared" si="66"/>
        <v>0</v>
      </c>
      <c r="CX69" s="257">
        <f t="shared" si="67"/>
        <v>0</v>
      </c>
      <c r="CY69" s="257">
        <f t="shared" si="68"/>
        <v>0</v>
      </c>
      <c r="CZ69" s="257">
        <f t="shared" si="69"/>
        <v>0</v>
      </c>
      <c r="DA69" s="257">
        <f t="shared" si="70"/>
        <v>0</v>
      </c>
      <c r="DB69" s="257">
        <f t="shared" si="71"/>
        <v>0</v>
      </c>
      <c r="DC69" s="257">
        <f t="shared" si="72"/>
        <v>0</v>
      </c>
    </row>
    <row r="70" spans="1:107" ht="20.25">
      <c r="A70" s="36">
        <v>12</v>
      </c>
      <c r="B70" s="62" t="s">
        <v>642</v>
      </c>
      <c r="C70" s="63" t="s">
        <v>75</v>
      </c>
      <c r="D70" s="64">
        <v>10</v>
      </c>
      <c r="E70" s="217">
        <v>21900</v>
      </c>
      <c r="F70" s="217" t="s">
        <v>80</v>
      </c>
      <c r="G70" s="218">
        <v>1057886</v>
      </c>
      <c r="H70" s="65" t="s">
        <v>62</v>
      </c>
      <c r="I70" s="65" t="s">
        <v>63</v>
      </c>
      <c r="J70" s="65" t="s">
        <v>63</v>
      </c>
      <c r="K70" s="66" t="s">
        <v>73</v>
      </c>
      <c r="L70" s="75"/>
      <c r="M70" s="75"/>
      <c r="N70" s="75"/>
      <c r="AB70" t="str">
        <f t="shared" si="14"/>
        <v>1994</v>
      </c>
      <c r="AC70">
        <f t="shared" si="15"/>
        <v>0</v>
      </c>
      <c r="AD70" t="str">
        <f>IF(AND(AP70=""),"",IF(AP70=0,"",1+(MAX(AD$59:AD69))))</f>
        <v/>
      </c>
      <c r="AE70" s="135">
        <v>12</v>
      </c>
      <c r="AF70" s="253">
        <f t="shared" si="16"/>
        <v>0</v>
      </c>
      <c r="AG70" s="257">
        <f t="shared" si="17"/>
        <v>0</v>
      </c>
      <c r="AH70" s="257">
        <f t="shared" si="18"/>
        <v>0</v>
      </c>
      <c r="AI70" s="257">
        <f t="shared" si="19"/>
        <v>0</v>
      </c>
      <c r="AJ70" s="257">
        <f t="shared" si="20"/>
        <v>0</v>
      </c>
      <c r="AK70" s="257">
        <f t="shared" si="21"/>
        <v>0</v>
      </c>
      <c r="AL70" s="257">
        <f t="shared" si="22"/>
        <v>0</v>
      </c>
      <c r="AM70" s="257">
        <f t="shared" si="23"/>
        <v>0</v>
      </c>
      <c r="AN70" s="257">
        <f t="shared" si="24"/>
        <v>0</v>
      </c>
      <c r="AO70" s="257">
        <f t="shared" si="25"/>
        <v>0</v>
      </c>
      <c r="AP70" s="257">
        <f t="shared" si="26"/>
        <v>0</v>
      </c>
      <c r="AQ70">
        <f>IF(AND(BC70=""),"",IF(BC70=0,"",1+(MAX(AQ$59:AQ69))))</f>
        <v>7</v>
      </c>
      <c r="AR70" s="256">
        <v>12</v>
      </c>
      <c r="AS70" s="253" t="str">
        <f t="shared" si="73"/>
        <v>yfyrdqekj</v>
      </c>
      <c r="AT70" s="254" t="str">
        <f t="shared" si="74"/>
        <v>TEACHER-III</v>
      </c>
      <c r="AU70" s="254">
        <f t="shared" si="75"/>
        <v>10</v>
      </c>
      <c r="AV70" s="254">
        <f t="shared" si="76"/>
        <v>21900</v>
      </c>
      <c r="AW70" s="254" t="str">
        <f t="shared" si="77"/>
        <v>RJPA199429002454</v>
      </c>
      <c r="AX70" s="254">
        <f t="shared" si="78"/>
        <v>1057886</v>
      </c>
      <c r="AY70" s="254" t="str">
        <f t="shared" si="79"/>
        <v>MALE</v>
      </c>
      <c r="AZ70" s="254" t="str">
        <f t="shared" si="80"/>
        <v>NO</v>
      </c>
      <c r="BA70" s="254" t="str">
        <f t="shared" si="81"/>
        <v>NO</v>
      </c>
      <c r="BB70" s="254" t="str">
        <f t="shared" si="28"/>
        <v>NON GAZETTED - REGULAR</v>
      </c>
      <c r="BC70" s="257">
        <f t="shared" si="29"/>
        <v>1</v>
      </c>
      <c r="BD70" t="str">
        <f>IF(AND(BP70=""),"",IF(BP70=0,"",1+(MAX(BD$59:BD69))))</f>
        <v/>
      </c>
      <c r="BE70" s="135">
        <v>12</v>
      </c>
      <c r="BF70" s="253">
        <f t="shared" si="30"/>
        <v>0</v>
      </c>
      <c r="BG70" s="257">
        <f t="shared" si="31"/>
        <v>0</v>
      </c>
      <c r="BH70" s="257">
        <f t="shared" si="32"/>
        <v>0</v>
      </c>
      <c r="BI70" s="257">
        <f t="shared" si="33"/>
        <v>0</v>
      </c>
      <c r="BJ70" s="257">
        <f t="shared" si="34"/>
        <v>0</v>
      </c>
      <c r="BK70" s="257">
        <f t="shared" si="35"/>
        <v>0</v>
      </c>
      <c r="BL70" s="257">
        <f t="shared" si="36"/>
        <v>0</v>
      </c>
      <c r="BM70" s="257">
        <f t="shared" si="37"/>
        <v>0</v>
      </c>
      <c r="BN70" s="257">
        <f t="shared" si="38"/>
        <v>0</v>
      </c>
      <c r="BO70" s="257">
        <f t="shared" si="39"/>
        <v>0</v>
      </c>
      <c r="BP70" s="257">
        <f t="shared" si="40"/>
        <v>0</v>
      </c>
      <c r="BQ70" t="str">
        <f>IF(AND(CC70=""),"",IF(CC70=0,"",1+(MAX(BQ$59:BQ69))))</f>
        <v/>
      </c>
      <c r="BR70" s="256">
        <v>12</v>
      </c>
      <c r="BS70" s="253">
        <f t="shared" si="41"/>
        <v>0</v>
      </c>
      <c r="BT70" s="257">
        <f t="shared" si="42"/>
        <v>0</v>
      </c>
      <c r="BU70" s="257">
        <f t="shared" si="43"/>
        <v>0</v>
      </c>
      <c r="BV70" s="257">
        <f t="shared" si="44"/>
        <v>0</v>
      </c>
      <c r="BW70" s="257">
        <f t="shared" si="45"/>
        <v>0</v>
      </c>
      <c r="BX70" s="257">
        <f t="shared" si="46"/>
        <v>0</v>
      </c>
      <c r="BY70" s="257">
        <f t="shared" si="47"/>
        <v>0</v>
      </c>
      <c r="BZ70" s="257">
        <f t="shared" si="48"/>
        <v>0</v>
      </c>
      <c r="CA70" s="257">
        <f t="shared" si="49"/>
        <v>0</v>
      </c>
      <c r="CB70" s="257">
        <f t="shared" si="50"/>
        <v>0</v>
      </c>
      <c r="CC70" s="257">
        <f t="shared" si="82"/>
        <v>0</v>
      </c>
      <c r="CD70" t="str">
        <f>IF(AND(CP70=""),"",IF(CP70=0,"",1+(MAX(CD$59:CD69))))</f>
        <v/>
      </c>
      <c r="CE70" s="135">
        <v>12</v>
      </c>
      <c r="CF70" s="253">
        <f t="shared" si="51"/>
        <v>0</v>
      </c>
      <c r="CG70" s="257">
        <f t="shared" si="52"/>
        <v>0</v>
      </c>
      <c r="CH70" s="257">
        <f t="shared" si="53"/>
        <v>0</v>
      </c>
      <c r="CI70" s="257">
        <f t="shared" si="54"/>
        <v>0</v>
      </c>
      <c r="CJ70" s="257">
        <f t="shared" si="55"/>
        <v>0</v>
      </c>
      <c r="CK70" s="257">
        <f t="shared" si="56"/>
        <v>0</v>
      </c>
      <c r="CL70" s="257">
        <f t="shared" si="57"/>
        <v>0</v>
      </c>
      <c r="CM70" s="257">
        <f t="shared" si="58"/>
        <v>0</v>
      </c>
      <c r="CN70" s="257">
        <f t="shared" si="59"/>
        <v>0</v>
      </c>
      <c r="CO70" s="257">
        <f t="shared" si="60"/>
        <v>0</v>
      </c>
      <c r="CP70" s="257">
        <f t="shared" si="61"/>
        <v>0</v>
      </c>
      <c r="CQ70" t="str">
        <f>IF(AND(DC70=""),"",IF(DC70=0,"",1+(MAX(CQ$59:CQ69))))</f>
        <v/>
      </c>
      <c r="CR70" s="256">
        <v>12</v>
      </c>
      <c r="CS70" s="253">
        <f t="shared" si="62"/>
        <v>0</v>
      </c>
      <c r="CT70" s="257">
        <f t="shared" si="63"/>
        <v>0</v>
      </c>
      <c r="CU70" s="257">
        <f t="shared" si="64"/>
        <v>0</v>
      </c>
      <c r="CV70" s="257">
        <f t="shared" si="65"/>
        <v>0</v>
      </c>
      <c r="CW70" s="257">
        <f t="shared" si="66"/>
        <v>0</v>
      </c>
      <c r="CX70" s="257">
        <f t="shared" si="67"/>
        <v>0</v>
      </c>
      <c r="CY70" s="257">
        <f t="shared" si="68"/>
        <v>0</v>
      </c>
      <c r="CZ70" s="257">
        <f t="shared" si="69"/>
        <v>0</v>
      </c>
      <c r="DA70" s="257">
        <f t="shared" si="70"/>
        <v>0</v>
      </c>
      <c r="DB70" s="257">
        <f t="shared" si="71"/>
        <v>0</v>
      </c>
      <c r="DC70" s="257">
        <f t="shared" si="72"/>
        <v>0</v>
      </c>
    </row>
    <row r="71" spans="1:107" ht="20.25">
      <c r="A71" s="36">
        <v>13</v>
      </c>
      <c r="B71" s="62" t="s">
        <v>643</v>
      </c>
      <c r="C71" s="63" t="s">
        <v>75</v>
      </c>
      <c r="D71" s="64">
        <v>10</v>
      </c>
      <c r="E71" s="217">
        <v>2370</v>
      </c>
      <c r="F71" s="217" t="s">
        <v>82</v>
      </c>
      <c r="G71" s="218">
        <v>865777</v>
      </c>
      <c r="H71" s="65" t="s">
        <v>62</v>
      </c>
      <c r="I71" s="65" t="s">
        <v>63</v>
      </c>
      <c r="J71" s="65" t="s">
        <v>63</v>
      </c>
      <c r="K71" s="66" t="s">
        <v>374</v>
      </c>
      <c r="L71" s="75"/>
      <c r="M71" s="75"/>
      <c r="N71" s="75"/>
      <c r="AB71" t="str">
        <f t="shared" si="14"/>
        <v>1996</v>
      </c>
      <c r="AC71">
        <f t="shared" si="15"/>
        <v>0</v>
      </c>
      <c r="AD71" t="str">
        <f>IF(AND(AP71=""),"",IF(AP71=0,"",1+(MAX(AD$59:AD70))))</f>
        <v/>
      </c>
      <c r="AE71" s="135">
        <v>13</v>
      </c>
      <c r="AF71" s="253">
        <f t="shared" si="16"/>
        <v>0</v>
      </c>
      <c r="AG71" s="257">
        <f t="shared" si="17"/>
        <v>0</v>
      </c>
      <c r="AH71" s="257">
        <f t="shared" si="18"/>
        <v>0</v>
      </c>
      <c r="AI71" s="257">
        <f t="shared" si="19"/>
        <v>0</v>
      </c>
      <c r="AJ71" s="257">
        <f t="shared" si="20"/>
        <v>0</v>
      </c>
      <c r="AK71" s="257">
        <f t="shared" si="21"/>
        <v>0</v>
      </c>
      <c r="AL71" s="257">
        <f t="shared" si="22"/>
        <v>0</v>
      </c>
      <c r="AM71" s="257">
        <f t="shared" si="23"/>
        <v>0</v>
      </c>
      <c r="AN71" s="257">
        <f t="shared" si="24"/>
        <v>0</v>
      </c>
      <c r="AO71" s="257">
        <f t="shared" si="25"/>
        <v>0</v>
      </c>
      <c r="AP71" s="257">
        <f t="shared" si="26"/>
        <v>0</v>
      </c>
      <c r="AQ71" t="str">
        <f>IF(AND(BC71=""),"",IF(BC71=0,"",1+(MAX(AQ$59:AQ70))))</f>
        <v/>
      </c>
      <c r="AR71" s="256">
        <v>13</v>
      </c>
      <c r="AS71" s="253">
        <f t="shared" si="73"/>
        <v>0</v>
      </c>
      <c r="AT71" s="254">
        <f t="shared" si="74"/>
        <v>0</v>
      </c>
      <c r="AU71" s="254">
        <f t="shared" si="75"/>
        <v>0</v>
      </c>
      <c r="AV71" s="254">
        <f t="shared" si="76"/>
        <v>0</v>
      </c>
      <c r="AW71" s="254">
        <f t="shared" si="77"/>
        <v>0</v>
      </c>
      <c r="AX71" s="254">
        <f t="shared" si="78"/>
        <v>0</v>
      </c>
      <c r="AY71" s="254">
        <f t="shared" si="79"/>
        <v>0</v>
      </c>
      <c r="AZ71" s="254">
        <f t="shared" si="80"/>
        <v>0</v>
      </c>
      <c r="BA71" s="254">
        <f t="shared" si="81"/>
        <v>0</v>
      </c>
      <c r="BB71" s="254">
        <f t="shared" si="28"/>
        <v>0</v>
      </c>
      <c r="BC71" s="257">
        <f t="shared" si="29"/>
        <v>0</v>
      </c>
      <c r="BD71" t="str">
        <f>IF(AND(BP71=""),"",IF(BP71=0,"",1+(MAX(BD$59:BD70))))</f>
        <v/>
      </c>
      <c r="BE71" s="135">
        <v>13</v>
      </c>
      <c r="BF71" s="253">
        <f t="shared" si="30"/>
        <v>0</v>
      </c>
      <c r="BG71" s="257">
        <f t="shared" si="31"/>
        <v>0</v>
      </c>
      <c r="BH71" s="257">
        <f t="shared" si="32"/>
        <v>0</v>
      </c>
      <c r="BI71" s="257">
        <f t="shared" si="33"/>
        <v>0</v>
      </c>
      <c r="BJ71" s="257">
        <f t="shared" si="34"/>
        <v>0</v>
      </c>
      <c r="BK71" s="257">
        <f t="shared" si="35"/>
        <v>0</v>
      </c>
      <c r="BL71" s="257">
        <f t="shared" si="36"/>
        <v>0</v>
      </c>
      <c r="BM71" s="257">
        <f t="shared" si="37"/>
        <v>0</v>
      </c>
      <c r="BN71" s="257">
        <f t="shared" si="38"/>
        <v>0</v>
      </c>
      <c r="BO71" s="257">
        <f t="shared" si="39"/>
        <v>0</v>
      </c>
      <c r="BP71" s="257">
        <f t="shared" si="40"/>
        <v>0</v>
      </c>
      <c r="BQ71">
        <f>IF(AND(CC71=""),"",IF(CC71=0,"",1+(MAX(BQ$59:BQ70))))</f>
        <v>2</v>
      </c>
      <c r="BR71" s="256">
        <v>13</v>
      </c>
      <c r="BS71" s="253" t="str">
        <f t="shared" si="41"/>
        <v>_f"kds'k</v>
      </c>
      <c r="BT71" s="257" t="str">
        <f t="shared" si="42"/>
        <v>TEACHER-III</v>
      </c>
      <c r="BU71" s="257">
        <f t="shared" si="43"/>
        <v>10</v>
      </c>
      <c r="BV71" s="257">
        <f t="shared" si="44"/>
        <v>2370</v>
      </c>
      <c r="BW71" s="257" t="str">
        <f t="shared" si="45"/>
        <v>RJPA199629006201</v>
      </c>
      <c r="BX71" s="257">
        <f t="shared" si="46"/>
        <v>865777</v>
      </c>
      <c r="BY71" s="257" t="str">
        <f t="shared" si="47"/>
        <v>MALE</v>
      </c>
      <c r="BZ71" s="257" t="str">
        <f t="shared" si="48"/>
        <v>NO</v>
      </c>
      <c r="CA71" s="257" t="str">
        <f t="shared" si="49"/>
        <v>NO</v>
      </c>
      <c r="CB71" s="257" t="str">
        <f t="shared" si="50"/>
        <v>NON GAZETTED - FIX PAY</v>
      </c>
      <c r="CC71" s="257">
        <f t="shared" si="82"/>
        <v>1</v>
      </c>
      <c r="CD71" t="str">
        <f>IF(AND(CP71=""),"",IF(CP71=0,"",1+(MAX(CD$59:CD70))))</f>
        <v/>
      </c>
      <c r="CE71" s="135">
        <v>13</v>
      </c>
      <c r="CF71" s="253">
        <f t="shared" si="51"/>
        <v>0</v>
      </c>
      <c r="CG71" s="257">
        <f t="shared" si="52"/>
        <v>0</v>
      </c>
      <c r="CH71" s="257">
        <f t="shared" si="53"/>
        <v>0</v>
      </c>
      <c r="CI71" s="257">
        <f t="shared" si="54"/>
        <v>0</v>
      </c>
      <c r="CJ71" s="257">
        <f t="shared" si="55"/>
        <v>0</v>
      </c>
      <c r="CK71" s="257">
        <f t="shared" si="56"/>
        <v>0</v>
      </c>
      <c r="CL71" s="257">
        <f t="shared" si="57"/>
        <v>0</v>
      </c>
      <c r="CM71" s="257">
        <f t="shared" si="58"/>
        <v>0</v>
      </c>
      <c r="CN71" s="257">
        <f t="shared" si="59"/>
        <v>0</v>
      </c>
      <c r="CO71" s="257">
        <f t="shared" si="60"/>
        <v>0</v>
      </c>
      <c r="CP71" s="257">
        <f t="shared" si="61"/>
        <v>0</v>
      </c>
      <c r="CQ71" t="str">
        <f>IF(AND(DC71=""),"",IF(DC71=0,"",1+(MAX(CQ$59:CQ70))))</f>
        <v/>
      </c>
      <c r="CR71" s="135">
        <v>13</v>
      </c>
      <c r="CS71" s="253">
        <f t="shared" si="62"/>
        <v>0</v>
      </c>
      <c r="CT71" s="257">
        <f t="shared" si="63"/>
        <v>0</v>
      </c>
      <c r="CU71" s="257">
        <f t="shared" si="64"/>
        <v>0</v>
      </c>
      <c r="CV71" s="257">
        <f t="shared" si="65"/>
        <v>0</v>
      </c>
      <c r="CW71" s="257">
        <f t="shared" si="66"/>
        <v>0</v>
      </c>
      <c r="CX71" s="257">
        <f t="shared" si="67"/>
        <v>0</v>
      </c>
      <c r="CY71" s="257">
        <f t="shared" si="68"/>
        <v>0</v>
      </c>
      <c r="CZ71" s="257">
        <f t="shared" si="69"/>
        <v>0</v>
      </c>
      <c r="DA71" s="257">
        <f t="shared" si="70"/>
        <v>0</v>
      </c>
      <c r="DB71" s="257">
        <f t="shared" si="71"/>
        <v>0</v>
      </c>
      <c r="DC71" s="257">
        <f t="shared" si="72"/>
        <v>0</v>
      </c>
    </row>
    <row r="72" spans="1:107" ht="20.25">
      <c r="A72" s="36">
        <v>14</v>
      </c>
      <c r="B72" s="62" t="s">
        <v>644</v>
      </c>
      <c r="C72" s="63" t="s">
        <v>259</v>
      </c>
      <c r="D72" s="64">
        <v>10</v>
      </c>
      <c r="E72" s="217">
        <v>34600</v>
      </c>
      <c r="F72" s="217" t="s">
        <v>84</v>
      </c>
      <c r="G72" s="218">
        <v>942738</v>
      </c>
      <c r="H72" s="65" t="s">
        <v>67</v>
      </c>
      <c r="I72" s="65" t="s">
        <v>63</v>
      </c>
      <c r="J72" s="65" t="s">
        <v>85</v>
      </c>
      <c r="K72" s="66" t="s">
        <v>73</v>
      </c>
      <c r="L72" s="75"/>
      <c r="M72" s="75"/>
      <c r="N72" s="75"/>
      <c r="AB72" t="str">
        <f t="shared" si="14"/>
        <v>2000</v>
      </c>
      <c r="AC72">
        <f t="shared" si="15"/>
        <v>0</v>
      </c>
      <c r="AD72" t="str">
        <f>IF(AND(AP72=""),"",IF(AP72=0,"",1+(MAX(AD$59:AD71))))</f>
        <v/>
      </c>
      <c r="AE72" s="135">
        <v>14</v>
      </c>
      <c r="AF72" s="253">
        <f t="shared" si="16"/>
        <v>0</v>
      </c>
      <c r="AG72" s="257">
        <f t="shared" si="17"/>
        <v>0</v>
      </c>
      <c r="AH72" s="257">
        <f t="shared" si="18"/>
        <v>0</v>
      </c>
      <c r="AI72" s="257">
        <f t="shared" si="19"/>
        <v>0</v>
      </c>
      <c r="AJ72" s="257">
        <f t="shared" si="20"/>
        <v>0</v>
      </c>
      <c r="AK72" s="257">
        <f t="shared" si="21"/>
        <v>0</v>
      </c>
      <c r="AL72" s="257">
        <f t="shared" si="22"/>
        <v>0</v>
      </c>
      <c r="AM72" s="257">
        <f t="shared" si="23"/>
        <v>0</v>
      </c>
      <c r="AN72" s="257">
        <f t="shared" si="24"/>
        <v>0</v>
      </c>
      <c r="AO72" s="257">
        <f t="shared" si="25"/>
        <v>0</v>
      </c>
      <c r="AP72" s="257">
        <f t="shared" si="26"/>
        <v>0</v>
      </c>
      <c r="AQ72">
        <f>IF(AND(BC72=""),"",IF(BC72=0,"",1+(MAX(AQ$59:AQ71))))</f>
        <v>8</v>
      </c>
      <c r="AR72" s="256">
        <v>14</v>
      </c>
      <c r="AS72" s="253" t="str">
        <f t="shared" si="73"/>
        <v>eunhiflag</v>
      </c>
      <c r="AT72" s="254" t="str">
        <f t="shared" si="74"/>
        <v>PTI  III</v>
      </c>
      <c r="AU72" s="254">
        <f t="shared" si="75"/>
        <v>10</v>
      </c>
      <c r="AV72" s="254">
        <f t="shared" si="76"/>
        <v>34600</v>
      </c>
      <c r="AW72" s="254" t="str">
        <f t="shared" si="77"/>
        <v>RJPA200029000805</v>
      </c>
      <c r="AX72" s="254">
        <f t="shared" si="78"/>
        <v>942738</v>
      </c>
      <c r="AY72" s="254" t="str">
        <f t="shared" si="79"/>
        <v>FEMALE</v>
      </c>
      <c r="AZ72" s="254" t="str">
        <f t="shared" si="80"/>
        <v>NO</v>
      </c>
      <c r="BA72" s="254" t="str">
        <f t="shared" si="81"/>
        <v>YES</v>
      </c>
      <c r="BB72" s="254" t="str">
        <f t="shared" si="28"/>
        <v>NON GAZETTED - REGULAR</v>
      </c>
      <c r="BC72" s="257">
        <f t="shared" si="29"/>
        <v>1</v>
      </c>
      <c r="BD72" t="str">
        <f>IF(AND(BP72=""),"",IF(BP72=0,"",1+(MAX(BD$59:BD71))))</f>
        <v/>
      </c>
      <c r="BE72" s="135">
        <v>14</v>
      </c>
      <c r="BF72" s="253">
        <f t="shared" si="30"/>
        <v>0</v>
      </c>
      <c r="BG72" s="257">
        <f t="shared" si="31"/>
        <v>0</v>
      </c>
      <c r="BH72" s="257">
        <f t="shared" si="32"/>
        <v>0</v>
      </c>
      <c r="BI72" s="257">
        <f t="shared" si="33"/>
        <v>0</v>
      </c>
      <c r="BJ72" s="257">
        <f t="shared" si="34"/>
        <v>0</v>
      </c>
      <c r="BK72" s="257">
        <f t="shared" si="35"/>
        <v>0</v>
      </c>
      <c r="BL72" s="257">
        <f t="shared" si="36"/>
        <v>0</v>
      </c>
      <c r="BM72" s="257">
        <f t="shared" si="37"/>
        <v>0</v>
      </c>
      <c r="BN72" s="257">
        <f t="shared" si="38"/>
        <v>0</v>
      </c>
      <c r="BO72" s="257">
        <f t="shared" si="39"/>
        <v>0</v>
      </c>
      <c r="BP72" s="257">
        <f t="shared" si="40"/>
        <v>0</v>
      </c>
      <c r="BQ72" t="str">
        <f>IF(AND(CC72=""),"",IF(CC72=0,"",1+(MAX(BQ$59:BQ71))))</f>
        <v/>
      </c>
      <c r="BR72" s="256">
        <v>14</v>
      </c>
      <c r="BS72" s="253">
        <f t="shared" si="41"/>
        <v>0</v>
      </c>
      <c r="BT72" s="257">
        <f t="shared" si="42"/>
        <v>0</v>
      </c>
      <c r="BU72" s="257">
        <f t="shared" si="43"/>
        <v>0</v>
      </c>
      <c r="BV72" s="257">
        <f t="shared" si="44"/>
        <v>0</v>
      </c>
      <c r="BW72" s="257">
        <f t="shared" si="45"/>
        <v>0</v>
      </c>
      <c r="BX72" s="257">
        <f t="shared" si="46"/>
        <v>0</v>
      </c>
      <c r="BY72" s="257">
        <f t="shared" si="47"/>
        <v>0</v>
      </c>
      <c r="BZ72" s="257">
        <f t="shared" si="48"/>
        <v>0</v>
      </c>
      <c r="CA72" s="257">
        <f t="shared" si="49"/>
        <v>0</v>
      </c>
      <c r="CB72" s="257">
        <f t="shared" si="50"/>
        <v>0</v>
      </c>
      <c r="CC72" s="257">
        <f t="shared" si="82"/>
        <v>0</v>
      </c>
      <c r="CD72" t="str">
        <f>IF(AND(CP72=""),"",IF(CP72=0,"",1+(MAX(CD$59:CD71))))</f>
        <v/>
      </c>
      <c r="CE72" s="135">
        <v>14</v>
      </c>
      <c r="CF72" s="253">
        <f t="shared" si="51"/>
        <v>0</v>
      </c>
      <c r="CG72" s="257">
        <f t="shared" si="52"/>
        <v>0</v>
      </c>
      <c r="CH72" s="257">
        <f t="shared" si="53"/>
        <v>0</v>
      </c>
      <c r="CI72" s="257">
        <f t="shared" si="54"/>
        <v>0</v>
      </c>
      <c r="CJ72" s="257">
        <f t="shared" si="55"/>
        <v>0</v>
      </c>
      <c r="CK72" s="257">
        <f t="shared" si="56"/>
        <v>0</v>
      </c>
      <c r="CL72" s="257">
        <f t="shared" si="57"/>
        <v>0</v>
      </c>
      <c r="CM72" s="257">
        <f t="shared" si="58"/>
        <v>0</v>
      </c>
      <c r="CN72" s="257">
        <f t="shared" si="59"/>
        <v>0</v>
      </c>
      <c r="CO72" s="257">
        <f t="shared" si="60"/>
        <v>0</v>
      </c>
      <c r="CP72" s="257">
        <f t="shared" si="61"/>
        <v>0</v>
      </c>
      <c r="CQ72" t="str">
        <f>IF(AND(DC72=""),"",IF(DC72=0,"",1+(MAX(CQ$59:CQ71))))</f>
        <v/>
      </c>
      <c r="CR72" s="256">
        <v>14</v>
      </c>
      <c r="CS72" s="253">
        <f t="shared" si="62"/>
        <v>0</v>
      </c>
      <c r="CT72" s="257">
        <f t="shared" si="63"/>
        <v>0</v>
      </c>
      <c r="CU72" s="257">
        <f t="shared" si="64"/>
        <v>0</v>
      </c>
      <c r="CV72" s="257">
        <f t="shared" si="65"/>
        <v>0</v>
      </c>
      <c r="CW72" s="257">
        <f t="shared" si="66"/>
        <v>0</v>
      </c>
      <c r="CX72" s="257">
        <f t="shared" si="67"/>
        <v>0</v>
      </c>
      <c r="CY72" s="257">
        <f t="shared" si="68"/>
        <v>0</v>
      </c>
      <c r="CZ72" s="257">
        <f t="shared" si="69"/>
        <v>0</v>
      </c>
      <c r="DA72" s="257">
        <f t="shared" si="70"/>
        <v>0</v>
      </c>
      <c r="DB72" s="257">
        <f t="shared" si="71"/>
        <v>0</v>
      </c>
      <c r="DC72" s="257">
        <f t="shared" si="72"/>
        <v>0</v>
      </c>
    </row>
    <row r="73" spans="1:107" ht="20.25">
      <c r="A73" s="36">
        <v>15</v>
      </c>
      <c r="B73" s="62" t="s">
        <v>645</v>
      </c>
      <c r="C73" s="63" t="s">
        <v>86</v>
      </c>
      <c r="D73" s="64">
        <v>2</v>
      </c>
      <c r="E73" s="217">
        <v>30600</v>
      </c>
      <c r="F73" s="217" t="s">
        <v>87</v>
      </c>
      <c r="G73" s="218">
        <v>811134</v>
      </c>
      <c r="H73" s="65" t="s">
        <v>62</v>
      </c>
      <c r="I73" s="65" t="s">
        <v>63</v>
      </c>
      <c r="J73" s="65" t="s">
        <v>63</v>
      </c>
      <c r="K73" s="66" t="s">
        <v>73</v>
      </c>
      <c r="L73" s="75"/>
      <c r="M73" s="75"/>
      <c r="N73" s="75"/>
      <c r="AB73" t="str">
        <f t="shared" si="14"/>
        <v>1994</v>
      </c>
      <c r="AC73">
        <f t="shared" si="15"/>
        <v>0</v>
      </c>
      <c r="AD73" t="str">
        <f>IF(AND(AP73=""),"",IF(AP73=0,"",1+(MAX(AD$59:AD72))))</f>
        <v/>
      </c>
      <c r="AE73" s="135">
        <v>15</v>
      </c>
      <c r="AF73" s="253">
        <f t="shared" si="16"/>
        <v>0</v>
      </c>
      <c r="AG73" s="257">
        <f t="shared" si="17"/>
        <v>0</v>
      </c>
      <c r="AH73" s="257">
        <f t="shared" si="18"/>
        <v>0</v>
      </c>
      <c r="AI73" s="257">
        <f t="shared" si="19"/>
        <v>0</v>
      </c>
      <c r="AJ73" s="257">
        <f t="shared" si="20"/>
        <v>0</v>
      </c>
      <c r="AK73" s="257">
        <f t="shared" si="21"/>
        <v>0</v>
      </c>
      <c r="AL73" s="257">
        <f t="shared" si="22"/>
        <v>0</v>
      </c>
      <c r="AM73" s="257">
        <f t="shared" si="23"/>
        <v>0</v>
      </c>
      <c r="AN73" s="257">
        <f t="shared" si="24"/>
        <v>0</v>
      </c>
      <c r="AO73" s="257">
        <f t="shared" si="25"/>
        <v>0</v>
      </c>
      <c r="AP73" s="257">
        <f t="shared" si="26"/>
        <v>0</v>
      </c>
      <c r="AQ73">
        <f>IF(AND(BC73=""),"",IF(BC73=0,"",1+(MAX(AQ$59:AQ72))))</f>
        <v>9</v>
      </c>
      <c r="AR73" s="256">
        <v>15</v>
      </c>
      <c r="AS73" s="253" t="str">
        <f t="shared" si="73"/>
        <v>vt;dqekj</v>
      </c>
      <c r="AT73" s="254" t="str">
        <f t="shared" si="74"/>
        <v>PEON</v>
      </c>
      <c r="AU73" s="254">
        <f t="shared" si="75"/>
        <v>2</v>
      </c>
      <c r="AV73" s="254">
        <f t="shared" si="76"/>
        <v>30600</v>
      </c>
      <c r="AW73" s="254" t="str">
        <f t="shared" si="77"/>
        <v>RJPA199429002349</v>
      </c>
      <c r="AX73" s="254">
        <f t="shared" si="78"/>
        <v>811134</v>
      </c>
      <c r="AY73" s="254" t="str">
        <f t="shared" si="79"/>
        <v>MALE</v>
      </c>
      <c r="AZ73" s="254" t="str">
        <f t="shared" si="80"/>
        <v>NO</v>
      </c>
      <c r="BA73" s="254" t="str">
        <f t="shared" si="81"/>
        <v>NO</v>
      </c>
      <c r="BB73" s="254" t="str">
        <f t="shared" si="28"/>
        <v>NON GAZETTED - REGULAR</v>
      </c>
      <c r="BC73" s="257">
        <f t="shared" si="29"/>
        <v>1</v>
      </c>
      <c r="BD73" t="str">
        <f>IF(AND(BP73=""),"",IF(BP73=0,"",1+(MAX(BD$59:BD72))))</f>
        <v/>
      </c>
      <c r="BE73" s="135">
        <v>15</v>
      </c>
      <c r="BF73" s="253">
        <f t="shared" si="30"/>
        <v>0</v>
      </c>
      <c r="BG73" s="257">
        <f t="shared" si="31"/>
        <v>0</v>
      </c>
      <c r="BH73" s="257">
        <f t="shared" si="32"/>
        <v>0</v>
      </c>
      <c r="BI73" s="257">
        <f t="shared" si="33"/>
        <v>0</v>
      </c>
      <c r="BJ73" s="257">
        <f t="shared" si="34"/>
        <v>0</v>
      </c>
      <c r="BK73" s="257">
        <f t="shared" si="35"/>
        <v>0</v>
      </c>
      <c r="BL73" s="257">
        <f t="shared" si="36"/>
        <v>0</v>
      </c>
      <c r="BM73" s="257">
        <f t="shared" si="37"/>
        <v>0</v>
      </c>
      <c r="BN73" s="257">
        <f t="shared" si="38"/>
        <v>0</v>
      </c>
      <c r="BO73" s="257">
        <f t="shared" si="39"/>
        <v>0</v>
      </c>
      <c r="BP73" s="257">
        <f t="shared" si="40"/>
        <v>0</v>
      </c>
      <c r="BQ73" t="str">
        <f>IF(AND(CC73=""),"",IF(CC73=0,"",1+(MAX(BQ$59:BQ72))))</f>
        <v/>
      </c>
      <c r="BR73" s="256">
        <v>15</v>
      </c>
      <c r="BS73" s="253">
        <f t="shared" si="41"/>
        <v>0</v>
      </c>
      <c r="BT73" s="257">
        <f t="shared" si="42"/>
        <v>0</v>
      </c>
      <c r="BU73" s="257">
        <f t="shared" si="43"/>
        <v>0</v>
      </c>
      <c r="BV73" s="257">
        <f t="shared" si="44"/>
        <v>0</v>
      </c>
      <c r="BW73" s="257">
        <f t="shared" si="45"/>
        <v>0</v>
      </c>
      <c r="BX73" s="257">
        <f t="shared" si="46"/>
        <v>0</v>
      </c>
      <c r="BY73" s="257">
        <f t="shared" si="47"/>
        <v>0</v>
      </c>
      <c r="BZ73" s="257">
        <f t="shared" si="48"/>
        <v>0</v>
      </c>
      <c r="CA73" s="257">
        <f t="shared" si="49"/>
        <v>0</v>
      </c>
      <c r="CB73" s="257">
        <f t="shared" si="50"/>
        <v>0</v>
      </c>
      <c r="CC73" s="257">
        <f t="shared" si="82"/>
        <v>0</v>
      </c>
      <c r="CD73" t="str">
        <f>IF(AND(CP73=""),"",IF(CP73=0,"",1+(MAX(CD$59:CD72))))</f>
        <v/>
      </c>
      <c r="CE73" s="135">
        <v>15</v>
      </c>
      <c r="CF73" s="253">
        <f t="shared" si="51"/>
        <v>0</v>
      </c>
      <c r="CG73" s="257">
        <f t="shared" si="52"/>
        <v>0</v>
      </c>
      <c r="CH73" s="257">
        <f t="shared" si="53"/>
        <v>0</v>
      </c>
      <c r="CI73" s="257">
        <f t="shared" si="54"/>
        <v>0</v>
      </c>
      <c r="CJ73" s="257">
        <f t="shared" si="55"/>
        <v>0</v>
      </c>
      <c r="CK73" s="257">
        <f t="shared" si="56"/>
        <v>0</v>
      </c>
      <c r="CL73" s="257">
        <f t="shared" si="57"/>
        <v>0</v>
      </c>
      <c r="CM73" s="257">
        <f t="shared" si="58"/>
        <v>0</v>
      </c>
      <c r="CN73" s="257">
        <f t="shared" si="59"/>
        <v>0</v>
      </c>
      <c r="CO73" s="257">
        <f t="shared" si="60"/>
        <v>0</v>
      </c>
      <c r="CP73" s="257">
        <f t="shared" si="61"/>
        <v>0</v>
      </c>
      <c r="CQ73" t="str">
        <f>IF(AND(DC73=""),"",IF(DC73=0,"",1+(MAX(CQ$59:CQ72))))</f>
        <v/>
      </c>
      <c r="CR73" s="135">
        <v>15</v>
      </c>
      <c r="CS73" s="253">
        <f t="shared" si="62"/>
        <v>0</v>
      </c>
      <c r="CT73" s="257">
        <f t="shared" si="63"/>
        <v>0</v>
      </c>
      <c r="CU73" s="257">
        <f t="shared" si="64"/>
        <v>0</v>
      </c>
      <c r="CV73" s="257">
        <f t="shared" si="65"/>
        <v>0</v>
      </c>
      <c r="CW73" s="257">
        <f t="shared" si="66"/>
        <v>0</v>
      </c>
      <c r="CX73" s="257">
        <f t="shared" si="67"/>
        <v>0</v>
      </c>
      <c r="CY73" s="257">
        <f t="shared" si="68"/>
        <v>0</v>
      </c>
      <c r="CZ73" s="257">
        <f t="shared" si="69"/>
        <v>0</v>
      </c>
      <c r="DA73" s="257">
        <f t="shared" si="70"/>
        <v>0</v>
      </c>
      <c r="DB73" s="257">
        <f t="shared" si="71"/>
        <v>0</v>
      </c>
      <c r="DC73" s="257">
        <f t="shared" si="72"/>
        <v>0</v>
      </c>
    </row>
    <row r="74" spans="1:107" ht="20.25">
      <c r="A74" s="36">
        <v>16</v>
      </c>
      <c r="B74" s="62" t="s">
        <v>89</v>
      </c>
      <c r="C74" s="63" t="s">
        <v>273</v>
      </c>
      <c r="D74" s="64"/>
      <c r="E74" s="217"/>
      <c r="F74" s="217" t="s">
        <v>88</v>
      </c>
      <c r="G74" s="218">
        <v>479427</v>
      </c>
      <c r="H74" s="65" t="s">
        <v>62</v>
      </c>
      <c r="I74" s="65" t="s">
        <v>63</v>
      </c>
      <c r="J74" s="65" t="s">
        <v>63</v>
      </c>
      <c r="K74" s="66" t="s">
        <v>374</v>
      </c>
      <c r="L74" s="75"/>
      <c r="M74" s="75"/>
      <c r="N74" s="75"/>
      <c r="AB74" t="str">
        <f t="shared" si="14"/>
        <v>1976</v>
      </c>
      <c r="AC74">
        <f t="shared" si="15"/>
        <v>1</v>
      </c>
      <c r="AD74" t="str">
        <f>IF(AND(AP74=""),"",IF(AP74=0,"",1+(MAX(AD$59:AD73))))</f>
        <v/>
      </c>
      <c r="AE74" s="135">
        <v>16</v>
      </c>
      <c r="AF74" s="253">
        <f t="shared" si="16"/>
        <v>0</v>
      </c>
      <c r="AG74" s="257">
        <f t="shared" si="17"/>
        <v>0</v>
      </c>
      <c r="AH74" s="257">
        <f t="shared" si="18"/>
        <v>0</v>
      </c>
      <c r="AI74" s="257">
        <f t="shared" si="19"/>
        <v>0</v>
      </c>
      <c r="AJ74" s="257">
        <f t="shared" si="20"/>
        <v>0</v>
      </c>
      <c r="AK74" s="257">
        <f t="shared" si="21"/>
        <v>0</v>
      </c>
      <c r="AL74" s="257">
        <f t="shared" si="22"/>
        <v>0</v>
      </c>
      <c r="AM74" s="257">
        <f t="shared" si="23"/>
        <v>0</v>
      </c>
      <c r="AN74" s="257">
        <f t="shared" si="24"/>
        <v>0</v>
      </c>
      <c r="AO74" s="257">
        <f t="shared" si="25"/>
        <v>0</v>
      </c>
      <c r="AP74" s="257">
        <f t="shared" si="26"/>
        <v>0</v>
      </c>
      <c r="AQ74" t="str">
        <f>IF(AND(BC74=""),"",IF(BC74=0,"",1+(MAX(AQ$59:AQ73))))</f>
        <v/>
      </c>
      <c r="AR74" s="256">
        <v>16</v>
      </c>
      <c r="AS74" s="253">
        <f t="shared" si="73"/>
        <v>0</v>
      </c>
      <c r="AT74" s="254">
        <f t="shared" si="74"/>
        <v>0</v>
      </c>
      <c r="AU74" s="254">
        <f t="shared" si="75"/>
        <v>0</v>
      </c>
      <c r="AV74" s="254">
        <f t="shared" si="76"/>
        <v>0</v>
      </c>
      <c r="AW74" s="254">
        <f t="shared" si="77"/>
        <v>0</v>
      </c>
      <c r="AX74" s="254">
        <f t="shared" si="78"/>
        <v>0</v>
      </c>
      <c r="AY74" s="254">
        <f t="shared" si="79"/>
        <v>0</v>
      </c>
      <c r="AZ74" s="254">
        <f t="shared" si="80"/>
        <v>0</v>
      </c>
      <c r="BA74" s="254">
        <f t="shared" si="81"/>
        <v>0</v>
      </c>
      <c r="BB74" s="254">
        <f t="shared" si="28"/>
        <v>0</v>
      </c>
      <c r="BC74" s="257">
        <f t="shared" si="29"/>
        <v>0</v>
      </c>
      <c r="BD74" t="str">
        <f>IF(AND(BP74=""),"",IF(BP74=0,"",1+(MAX(BD$59:BD73))))</f>
        <v/>
      </c>
      <c r="BE74" s="135">
        <v>16</v>
      </c>
      <c r="BF74" s="253">
        <f t="shared" si="30"/>
        <v>0</v>
      </c>
      <c r="BG74" s="257">
        <f t="shared" si="31"/>
        <v>0</v>
      </c>
      <c r="BH74" s="257">
        <f t="shared" si="32"/>
        <v>0</v>
      </c>
      <c r="BI74" s="257">
        <f t="shared" si="33"/>
        <v>0</v>
      </c>
      <c r="BJ74" s="257">
        <f t="shared" si="34"/>
        <v>0</v>
      </c>
      <c r="BK74" s="257">
        <f t="shared" si="35"/>
        <v>0</v>
      </c>
      <c r="BL74" s="257">
        <f t="shared" si="36"/>
        <v>0</v>
      </c>
      <c r="BM74" s="257">
        <f t="shared" si="37"/>
        <v>0</v>
      </c>
      <c r="BN74" s="257">
        <f t="shared" si="38"/>
        <v>0</v>
      </c>
      <c r="BO74" s="257">
        <f t="shared" si="39"/>
        <v>0</v>
      </c>
      <c r="BP74" s="257">
        <f t="shared" si="40"/>
        <v>0</v>
      </c>
      <c r="BQ74">
        <f>IF(AND(CC74=""),"",IF(CC74=0,"",1+(MAX(BQ$59:BQ73))))</f>
        <v>3</v>
      </c>
      <c r="BR74" s="256">
        <v>16</v>
      </c>
      <c r="BS74" s="253" t="str">
        <f t="shared" si="41"/>
        <v>in fjDr</v>
      </c>
      <c r="BT74" s="257" t="str">
        <f t="shared" si="42"/>
        <v>LAB BOY</v>
      </c>
      <c r="BU74" s="257">
        <f t="shared" si="43"/>
        <v>0</v>
      </c>
      <c r="BV74" s="257">
        <f t="shared" si="44"/>
        <v>0</v>
      </c>
      <c r="BW74" s="257" t="str">
        <f t="shared" si="45"/>
        <v>RJPA197629001881</v>
      </c>
      <c r="BX74" s="257">
        <f t="shared" si="46"/>
        <v>479427</v>
      </c>
      <c r="BY74" s="257" t="str">
        <f t="shared" si="47"/>
        <v>MALE</v>
      </c>
      <c r="BZ74" s="257" t="str">
        <f t="shared" si="48"/>
        <v>NO</v>
      </c>
      <c r="CA74" s="257" t="str">
        <f t="shared" si="49"/>
        <v>NO</v>
      </c>
      <c r="CB74" s="257" t="str">
        <f t="shared" si="50"/>
        <v>NON GAZETTED - FIX PAY</v>
      </c>
      <c r="CC74" s="257">
        <f t="shared" si="82"/>
        <v>1</v>
      </c>
      <c r="CD74" t="str">
        <f>IF(AND(CP74=""),"",IF(CP74=0,"",1+(MAX(CD$59:CD73))))</f>
        <v/>
      </c>
      <c r="CE74" s="135">
        <v>16</v>
      </c>
      <c r="CF74" s="253">
        <f t="shared" si="51"/>
        <v>0</v>
      </c>
      <c r="CG74" s="257">
        <f t="shared" si="52"/>
        <v>0</v>
      </c>
      <c r="CH74" s="257">
        <f t="shared" si="53"/>
        <v>0</v>
      </c>
      <c r="CI74" s="257">
        <f t="shared" si="54"/>
        <v>0</v>
      </c>
      <c r="CJ74" s="257">
        <f t="shared" si="55"/>
        <v>0</v>
      </c>
      <c r="CK74" s="257">
        <f t="shared" si="56"/>
        <v>0</v>
      </c>
      <c r="CL74" s="257">
        <f t="shared" si="57"/>
        <v>0</v>
      </c>
      <c r="CM74" s="257">
        <f t="shared" si="58"/>
        <v>0</v>
      </c>
      <c r="CN74" s="257">
        <f t="shared" si="59"/>
        <v>0</v>
      </c>
      <c r="CO74" s="257">
        <f t="shared" si="60"/>
        <v>0</v>
      </c>
      <c r="CP74" s="257">
        <f t="shared" si="61"/>
        <v>0</v>
      </c>
      <c r="CQ74" t="str">
        <f>IF(AND(DC74=""),"",IF(DC74=0,"",1+(MAX(CQ$59:CQ73))))</f>
        <v/>
      </c>
      <c r="CR74" s="256">
        <v>16</v>
      </c>
      <c r="CS74" s="253">
        <f t="shared" si="62"/>
        <v>0</v>
      </c>
      <c r="CT74" s="257">
        <f t="shared" si="63"/>
        <v>0</v>
      </c>
      <c r="CU74" s="257">
        <f t="shared" si="64"/>
        <v>0</v>
      </c>
      <c r="CV74" s="257">
        <f t="shared" si="65"/>
        <v>0</v>
      </c>
      <c r="CW74" s="257">
        <f t="shared" si="66"/>
        <v>0</v>
      </c>
      <c r="CX74" s="257">
        <f t="shared" si="67"/>
        <v>0</v>
      </c>
      <c r="CY74" s="257">
        <f t="shared" si="68"/>
        <v>0</v>
      </c>
      <c r="CZ74" s="257">
        <f t="shared" si="69"/>
        <v>0</v>
      </c>
      <c r="DA74" s="257">
        <f t="shared" si="70"/>
        <v>0</v>
      </c>
      <c r="DB74" s="257">
        <f t="shared" si="71"/>
        <v>0</v>
      </c>
      <c r="DC74" s="257">
        <f t="shared" si="72"/>
        <v>0</v>
      </c>
    </row>
    <row r="75" spans="1:107" ht="20.25">
      <c r="A75" s="36">
        <v>17</v>
      </c>
      <c r="B75" s="62" t="s">
        <v>89</v>
      </c>
      <c r="C75" s="63" t="s">
        <v>83</v>
      </c>
      <c r="D75" s="64"/>
      <c r="E75" s="217"/>
      <c r="F75" s="219"/>
      <c r="G75" s="218"/>
      <c r="H75" s="65"/>
      <c r="I75" s="65" t="s">
        <v>63</v>
      </c>
      <c r="J75" s="65" t="s">
        <v>63</v>
      </c>
      <c r="K75" s="66" t="s">
        <v>73</v>
      </c>
      <c r="L75" s="75"/>
      <c r="M75" s="75"/>
      <c r="N75" s="75"/>
      <c r="AB75" t="str">
        <f t="shared" si="14"/>
        <v/>
      </c>
      <c r="AC75">
        <f t="shared" si="15"/>
        <v>1</v>
      </c>
      <c r="AD75" t="str">
        <f>IF(AND(AP75=""),"",IF(AP75=0,"",1+(MAX(AD$59:AD74))))</f>
        <v/>
      </c>
      <c r="AE75" s="135">
        <v>17</v>
      </c>
      <c r="AF75" s="253">
        <f t="shared" si="16"/>
        <v>0</v>
      </c>
      <c r="AG75" s="257">
        <f t="shared" si="17"/>
        <v>0</v>
      </c>
      <c r="AH75" s="257">
        <f t="shared" si="18"/>
        <v>0</v>
      </c>
      <c r="AI75" s="257">
        <f t="shared" si="19"/>
        <v>0</v>
      </c>
      <c r="AJ75" s="257">
        <f t="shared" si="20"/>
        <v>0</v>
      </c>
      <c r="AK75" s="257">
        <f t="shared" si="21"/>
        <v>0</v>
      </c>
      <c r="AL75" s="257">
        <f t="shared" si="22"/>
        <v>0</v>
      </c>
      <c r="AM75" s="257">
        <f t="shared" si="23"/>
        <v>0</v>
      </c>
      <c r="AN75" s="257">
        <f t="shared" si="24"/>
        <v>0</v>
      </c>
      <c r="AO75" s="257">
        <f t="shared" si="25"/>
        <v>0</v>
      </c>
      <c r="AP75" s="257">
        <f t="shared" si="26"/>
        <v>0</v>
      </c>
      <c r="AQ75">
        <f>IF(AND(BC75=""),"",IF(BC75=0,"",1+(MAX(AQ$59:AQ74))))</f>
        <v>10</v>
      </c>
      <c r="AR75" s="256">
        <v>17</v>
      </c>
      <c r="AS75" s="253" t="str">
        <f t="shared" si="73"/>
        <v>in fjDr</v>
      </c>
      <c r="AT75" s="254" t="str">
        <f t="shared" si="74"/>
        <v>CLERK GRADE II</v>
      </c>
      <c r="AU75" s="254">
        <f t="shared" si="75"/>
        <v>0</v>
      </c>
      <c r="AV75" s="254">
        <f t="shared" si="76"/>
        <v>0</v>
      </c>
      <c r="AW75" s="254">
        <f t="shared" si="77"/>
        <v>0</v>
      </c>
      <c r="AX75" s="254">
        <f t="shared" si="78"/>
        <v>0</v>
      </c>
      <c r="AY75" s="254">
        <f t="shared" si="79"/>
        <v>0</v>
      </c>
      <c r="AZ75" s="254" t="str">
        <f t="shared" si="80"/>
        <v>NO</v>
      </c>
      <c r="BA75" s="254" t="str">
        <f t="shared" si="81"/>
        <v>NO</v>
      </c>
      <c r="BB75" s="254" t="str">
        <f t="shared" si="28"/>
        <v>NON GAZETTED - REGULAR</v>
      </c>
      <c r="BC75" s="257">
        <f t="shared" si="29"/>
        <v>1</v>
      </c>
      <c r="BD75" t="str">
        <f>IF(AND(BP75=""),"",IF(BP75=0,"",1+(MAX(BD$59:BD74))))</f>
        <v/>
      </c>
      <c r="BE75" s="135">
        <v>17</v>
      </c>
      <c r="BF75" s="253">
        <f t="shared" si="30"/>
        <v>0</v>
      </c>
      <c r="BG75" s="257">
        <f t="shared" si="31"/>
        <v>0</v>
      </c>
      <c r="BH75" s="257">
        <f t="shared" si="32"/>
        <v>0</v>
      </c>
      <c r="BI75" s="257">
        <f t="shared" si="33"/>
        <v>0</v>
      </c>
      <c r="BJ75" s="257">
        <f t="shared" si="34"/>
        <v>0</v>
      </c>
      <c r="BK75" s="257">
        <f t="shared" si="35"/>
        <v>0</v>
      </c>
      <c r="BL75" s="257">
        <f t="shared" si="36"/>
        <v>0</v>
      </c>
      <c r="BM75" s="257">
        <f t="shared" si="37"/>
        <v>0</v>
      </c>
      <c r="BN75" s="257">
        <f t="shared" si="38"/>
        <v>0</v>
      </c>
      <c r="BO75" s="257">
        <f t="shared" si="39"/>
        <v>0</v>
      </c>
      <c r="BP75" s="257">
        <f t="shared" si="40"/>
        <v>0</v>
      </c>
      <c r="BQ75" t="str">
        <f>IF(AND(CC75=""),"",IF(CC75=0,"",1+(MAX(BQ$59:BQ74))))</f>
        <v/>
      </c>
      <c r="BR75" s="256">
        <v>17</v>
      </c>
      <c r="BS75" s="253">
        <f t="shared" si="41"/>
        <v>0</v>
      </c>
      <c r="BT75" s="257">
        <f t="shared" si="42"/>
        <v>0</v>
      </c>
      <c r="BU75" s="257">
        <f t="shared" si="43"/>
        <v>0</v>
      </c>
      <c r="BV75" s="257">
        <f t="shared" si="44"/>
        <v>0</v>
      </c>
      <c r="BW75" s="257">
        <f t="shared" si="45"/>
        <v>0</v>
      </c>
      <c r="BX75" s="257">
        <f t="shared" si="46"/>
        <v>0</v>
      </c>
      <c r="BY75" s="257">
        <f t="shared" si="47"/>
        <v>0</v>
      </c>
      <c r="BZ75" s="257">
        <f t="shared" si="48"/>
        <v>0</v>
      </c>
      <c r="CA75" s="257">
        <f t="shared" si="49"/>
        <v>0</v>
      </c>
      <c r="CB75" s="257">
        <f t="shared" si="50"/>
        <v>0</v>
      </c>
      <c r="CC75" s="257">
        <f t="shared" si="82"/>
        <v>0</v>
      </c>
      <c r="CD75" t="str">
        <f>IF(AND(CP75=""),"",IF(CP75=0,"",1+(MAX(CD$59:CD74))))</f>
        <v/>
      </c>
      <c r="CE75" s="135">
        <v>17</v>
      </c>
      <c r="CF75" s="253">
        <f t="shared" si="51"/>
        <v>0</v>
      </c>
      <c r="CG75" s="257">
        <f t="shared" si="52"/>
        <v>0</v>
      </c>
      <c r="CH75" s="257">
        <f t="shared" si="53"/>
        <v>0</v>
      </c>
      <c r="CI75" s="257">
        <f t="shared" si="54"/>
        <v>0</v>
      </c>
      <c r="CJ75" s="257">
        <f t="shared" si="55"/>
        <v>0</v>
      </c>
      <c r="CK75" s="257">
        <f t="shared" si="56"/>
        <v>0</v>
      </c>
      <c r="CL75" s="257">
        <f t="shared" si="57"/>
        <v>0</v>
      </c>
      <c r="CM75" s="257">
        <f t="shared" si="58"/>
        <v>0</v>
      </c>
      <c r="CN75" s="257">
        <f t="shared" si="59"/>
        <v>0</v>
      </c>
      <c r="CO75" s="257">
        <f t="shared" si="60"/>
        <v>0</v>
      </c>
      <c r="CP75" s="257">
        <f t="shared" si="61"/>
        <v>0</v>
      </c>
      <c r="CQ75" t="str">
        <f>IF(AND(DC75=""),"",IF(DC75=0,"",1+(MAX(CQ$59:CQ74))))</f>
        <v/>
      </c>
      <c r="CR75" s="135">
        <v>17</v>
      </c>
      <c r="CS75" s="253">
        <f t="shared" si="62"/>
        <v>0</v>
      </c>
      <c r="CT75" s="257">
        <f t="shared" si="63"/>
        <v>0</v>
      </c>
      <c r="CU75" s="257">
        <f t="shared" si="64"/>
        <v>0</v>
      </c>
      <c r="CV75" s="257">
        <f t="shared" si="65"/>
        <v>0</v>
      </c>
      <c r="CW75" s="257">
        <f t="shared" si="66"/>
        <v>0</v>
      </c>
      <c r="CX75" s="257">
        <f t="shared" si="67"/>
        <v>0</v>
      </c>
      <c r="CY75" s="257">
        <f t="shared" si="68"/>
        <v>0</v>
      </c>
      <c r="CZ75" s="257">
        <f t="shared" si="69"/>
        <v>0</v>
      </c>
      <c r="DA75" s="257">
        <f t="shared" si="70"/>
        <v>0</v>
      </c>
      <c r="DB75" s="257">
        <f t="shared" si="71"/>
        <v>0</v>
      </c>
      <c r="DC75" s="257">
        <f t="shared" si="72"/>
        <v>0</v>
      </c>
    </row>
    <row r="76" spans="1:107" ht="20.25">
      <c r="A76" s="36">
        <v>18</v>
      </c>
      <c r="B76" s="62"/>
      <c r="C76" s="63"/>
      <c r="D76" s="64"/>
      <c r="E76" s="217"/>
      <c r="F76" s="217"/>
      <c r="G76" s="218"/>
      <c r="H76" s="65"/>
      <c r="I76" s="65"/>
      <c r="J76" s="65"/>
      <c r="K76" s="66"/>
      <c r="L76" s="75"/>
      <c r="M76" s="75"/>
      <c r="N76" s="75"/>
      <c r="AB76" t="str">
        <f t="shared" si="14"/>
        <v/>
      </c>
      <c r="AC76">
        <f t="shared" si="15"/>
        <v>1</v>
      </c>
      <c r="AD76" t="str">
        <f>IF(AND(AP76=""),"",IF(AP76=0,"",1+(MAX(AD$59:AD75))))</f>
        <v/>
      </c>
      <c r="AE76" s="135">
        <v>18</v>
      </c>
      <c r="AF76" s="253">
        <f t="shared" si="16"/>
        <v>0</v>
      </c>
      <c r="AG76" s="257">
        <f t="shared" si="17"/>
        <v>0</v>
      </c>
      <c r="AH76" s="257">
        <f t="shared" si="18"/>
        <v>0</v>
      </c>
      <c r="AI76" s="257">
        <f t="shared" si="19"/>
        <v>0</v>
      </c>
      <c r="AJ76" s="257">
        <f t="shared" si="20"/>
        <v>0</v>
      </c>
      <c r="AK76" s="257">
        <f t="shared" si="21"/>
        <v>0</v>
      </c>
      <c r="AL76" s="257">
        <f t="shared" si="22"/>
        <v>0</v>
      </c>
      <c r="AM76" s="257">
        <f t="shared" si="23"/>
        <v>0</v>
      </c>
      <c r="AN76" s="257">
        <f t="shared" si="24"/>
        <v>0</v>
      </c>
      <c r="AO76" s="257">
        <f t="shared" si="25"/>
        <v>0</v>
      </c>
      <c r="AP76" s="257" t="str">
        <f t="shared" si="26"/>
        <v/>
      </c>
      <c r="AQ76" t="str">
        <f>IF(AND(BC76=""),"",IF(BC76=0,"",1+(MAX(AQ$59:AQ75))))</f>
        <v/>
      </c>
      <c r="AR76" s="256">
        <v>18</v>
      </c>
      <c r="AS76" s="253">
        <f t="shared" si="73"/>
        <v>0</v>
      </c>
      <c r="AT76" s="254">
        <f t="shared" si="74"/>
        <v>0</v>
      </c>
      <c r="AU76" s="254">
        <f t="shared" si="75"/>
        <v>0</v>
      </c>
      <c r="AV76" s="254">
        <f t="shared" si="76"/>
        <v>0</v>
      </c>
      <c r="AW76" s="254">
        <f t="shared" si="77"/>
        <v>0</v>
      </c>
      <c r="AX76" s="254">
        <f t="shared" si="78"/>
        <v>0</v>
      </c>
      <c r="AY76" s="254">
        <f t="shared" si="79"/>
        <v>0</v>
      </c>
      <c r="AZ76" s="254">
        <f t="shared" si="80"/>
        <v>0</v>
      </c>
      <c r="BA76" s="254">
        <f t="shared" si="81"/>
        <v>0</v>
      </c>
      <c r="BB76" s="254">
        <f t="shared" si="28"/>
        <v>0</v>
      </c>
      <c r="BC76" s="257" t="str">
        <f t="shared" si="29"/>
        <v/>
      </c>
      <c r="BD76" t="str">
        <f>IF(AND(BP76=""),"",IF(BP76=0,"",1+(MAX(BD$59:BD75))))</f>
        <v/>
      </c>
      <c r="BE76" s="135">
        <v>18</v>
      </c>
      <c r="BF76" s="253">
        <f t="shared" si="30"/>
        <v>0</v>
      </c>
      <c r="BG76" s="257">
        <f t="shared" si="31"/>
        <v>0</v>
      </c>
      <c r="BH76" s="257">
        <f t="shared" si="32"/>
        <v>0</v>
      </c>
      <c r="BI76" s="257">
        <f t="shared" si="33"/>
        <v>0</v>
      </c>
      <c r="BJ76" s="257">
        <f t="shared" si="34"/>
        <v>0</v>
      </c>
      <c r="BK76" s="257">
        <f t="shared" si="35"/>
        <v>0</v>
      </c>
      <c r="BL76" s="257">
        <f t="shared" si="36"/>
        <v>0</v>
      </c>
      <c r="BM76" s="257">
        <f t="shared" si="37"/>
        <v>0</v>
      </c>
      <c r="BN76" s="257">
        <f t="shared" si="38"/>
        <v>0</v>
      </c>
      <c r="BO76" s="257">
        <f t="shared" si="39"/>
        <v>0</v>
      </c>
      <c r="BP76" s="257" t="str">
        <f t="shared" si="40"/>
        <v/>
      </c>
      <c r="BQ76" t="str">
        <f>IF(AND(CC76=""),"",IF(CC76=0,"",1+(MAX(BQ$59:BQ75))))</f>
        <v/>
      </c>
      <c r="BR76" s="256">
        <v>18</v>
      </c>
      <c r="BS76" s="253">
        <f t="shared" si="41"/>
        <v>0</v>
      </c>
      <c r="BT76" s="257">
        <f t="shared" si="42"/>
        <v>0</v>
      </c>
      <c r="BU76" s="257">
        <f t="shared" si="43"/>
        <v>0</v>
      </c>
      <c r="BV76" s="257">
        <f t="shared" si="44"/>
        <v>0</v>
      </c>
      <c r="BW76" s="257">
        <f t="shared" si="45"/>
        <v>0</v>
      </c>
      <c r="BX76" s="257">
        <f t="shared" si="46"/>
        <v>0</v>
      </c>
      <c r="BY76" s="257">
        <f t="shared" si="47"/>
        <v>0</v>
      </c>
      <c r="BZ76" s="257">
        <f t="shared" si="48"/>
        <v>0</v>
      </c>
      <c r="CA76" s="257">
        <f t="shared" si="49"/>
        <v>0</v>
      </c>
      <c r="CB76" s="257">
        <f t="shared" si="50"/>
        <v>0</v>
      </c>
      <c r="CC76" s="257" t="str">
        <f t="shared" si="82"/>
        <v/>
      </c>
      <c r="CD76" t="str">
        <f>IF(AND(CP76=""),"",IF(CP76=0,"",1+(MAX(CD$59:CD75))))</f>
        <v/>
      </c>
      <c r="CE76" s="135">
        <v>18</v>
      </c>
      <c r="CF76" s="253">
        <f t="shared" si="51"/>
        <v>0</v>
      </c>
      <c r="CG76" s="257">
        <f t="shared" si="52"/>
        <v>0</v>
      </c>
      <c r="CH76" s="257">
        <f t="shared" si="53"/>
        <v>0</v>
      </c>
      <c r="CI76" s="257">
        <f t="shared" si="54"/>
        <v>0</v>
      </c>
      <c r="CJ76" s="257">
        <f t="shared" si="55"/>
        <v>0</v>
      </c>
      <c r="CK76" s="257">
        <f t="shared" si="56"/>
        <v>0</v>
      </c>
      <c r="CL76" s="257">
        <f t="shared" si="57"/>
        <v>0</v>
      </c>
      <c r="CM76" s="257">
        <f t="shared" si="58"/>
        <v>0</v>
      </c>
      <c r="CN76" s="257">
        <f t="shared" si="59"/>
        <v>0</v>
      </c>
      <c r="CO76" s="257">
        <f t="shared" si="60"/>
        <v>0</v>
      </c>
      <c r="CP76" s="257" t="str">
        <f t="shared" si="61"/>
        <v/>
      </c>
      <c r="CQ76" t="str">
        <f>IF(AND(DC76=""),"",IF(DC76=0,"",1+(MAX(CQ$59:CQ75))))</f>
        <v/>
      </c>
      <c r="CR76" s="256">
        <v>18</v>
      </c>
      <c r="CS76" s="253">
        <f t="shared" si="62"/>
        <v>0</v>
      </c>
      <c r="CT76" s="257">
        <f t="shared" si="63"/>
        <v>0</v>
      </c>
      <c r="CU76" s="257">
        <f t="shared" si="64"/>
        <v>0</v>
      </c>
      <c r="CV76" s="257">
        <f t="shared" si="65"/>
        <v>0</v>
      </c>
      <c r="CW76" s="257">
        <f t="shared" si="66"/>
        <v>0</v>
      </c>
      <c r="CX76" s="257">
        <f t="shared" si="67"/>
        <v>0</v>
      </c>
      <c r="CY76" s="257">
        <f t="shared" si="68"/>
        <v>0</v>
      </c>
      <c r="CZ76" s="257">
        <f t="shared" si="69"/>
        <v>0</v>
      </c>
      <c r="DA76" s="257">
        <f t="shared" si="70"/>
        <v>0</v>
      </c>
      <c r="DB76" s="257">
        <f t="shared" si="71"/>
        <v>0</v>
      </c>
      <c r="DC76" s="257" t="str">
        <f t="shared" si="72"/>
        <v/>
      </c>
    </row>
    <row r="77" spans="1:107" ht="20.25">
      <c r="A77" s="36">
        <v>19</v>
      </c>
      <c r="B77" s="62"/>
      <c r="C77" s="63"/>
      <c r="D77" s="64"/>
      <c r="E77" s="217"/>
      <c r="F77" s="217"/>
      <c r="G77" s="218"/>
      <c r="H77" s="65"/>
      <c r="I77" s="65"/>
      <c r="J77" s="65"/>
      <c r="K77" s="66"/>
      <c r="L77" s="75"/>
      <c r="M77" s="75"/>
      <c r="N77" s="75"/>
      <c r="AB77" t="str">
        <f t="shared" si="14"/>
        <v/>
      </c>
      <c r="AC77">
        <f t="shared" si="15"/>
        <v>1</v>
      </c>
      <c r="AD77" t="str">
        <f>IF(AND(AP77=""),"",IF(AP77=0,"",1+(MAX(AD$59:AD76))))</f>
        <v/>
      </c>
      <c r="AE77" s="135">
        <v>19</v>
      </c>
      <c r="AF77" s="253">
        <f t="shared" si="16"/>
        <v>0</v>
      </c>
      <c r="AG77" s="257">
        <f t="shared" si="17"/>
        <v>0</v>
      </c>
      <c r="AH77" s="257">
        <f t="shared" si="18"/>
        <v>0</v>
      </c>
      <c r="AI77" s="257">
        <f t="shared" si="19"/>
        <v>0</v>
      </c>
      <c r="AJ77" s="257">
        <f t="shared" si="20"/>
        <v>0</v>
      </c>
      <c r="AK77" s="257">
        <f t="shared" si="21"/>
        <v>0</v>
      </c>
      <c r="AL77" s="257">
        <f t="shared" si="22"/>
        <v>0</v>
      </c>
      <c r="AM77" s="257">
        <f t="shared" si="23"/>
        <v>0</v>
      </c>
      <c r="AN77" s="257">
        <f t="shared" si="24"/>
        <v>0</v>
      </c>
      <c r="AO77" s="257">
        <f t="shared" si="25"/>
        <v>0</v>
      </c>
      <c r="AP77" s="257" t="str">
        <f t="shared" si="26"/>
        <v/>
      </c>
      <c r="AQ77" t="str">
        <f>IF(AND(BC77=""),"",IF(BC77=0,"",1+(MAX(AQ$59:AQ76))))</f>
        <v/>
      </c>
      <c r="AR77" s="256">
        <v>19</v>
      </c>
      <c r="AS77" s="253">
        <f t="shared" si="73"/>
        <v>0</v>
      </c>
      <c r="AT77" s="254">
        <f t="shared" si="74"/>
        <v>0</v>
      </c>
      <c r="AU77" s="254">
        <f t="shared" si="75"/>
        <v>0</v>
      </c>
      <c r="AV77" s="254">
        <f t="shared" si="76"/>
        <v>0</v>
      </c>
      <c r="AW77" s="254">
        <f t="shared" si="77"/>
        <v>0</v>
      </c>
      <c r="AX77" s="254">
        <f t="shared" si="78"/>
        <v>0</v>
      </c>
      <c r="AY77" s="254">
        <f t="shared" si="79"/>
        <v>0</v>
      </c>
      <c r="AZ77" s="254">
        <f t="shared" si="80"/>
        <v>0</v>
      </c>
      <c r="BA77" s="254">
        <f t="shared" si="81"/>
        <v>0</v>
      </c>
      <c r="BB77" s="254">
        <f t="shared" si="28"/>
        <v>0</v>
      </c>
      <c r="BC77" s="257" t="str">
        <f t="shared" si="29"/>
        <v/>
      </c>
      <c r="BD77" t="str">
        <f>IF(AND(BP77=""),"",IF(BP77=0,"",1+(MAX(BD$59:BD76))))</f>
        <v/>
      </c>
      <c r="BE77" s="135">
        <v>19</v>
      </c>
      <c r="BF77" s="253">
        <f t="shared" si="30"/>
        <v>0</v>
      </c>
      <c r="BG77" s="257">
        <f t="shared" si="31"/>
        <v>0</v>
      </c>
      <c r="BH77" s="257">
        <f t="shared" si="32"/>
        <v>0</v>
      </c>
      <c r="BI77" s="257">
        <f t="shared" si="33"/>
        <v>0</v>
      </c>
      <c r="BJ77" s="257">
        <f t="shared" si="34"/>
        <v>0</v>
      </c>
      <c r="BK77" s="257">
        <f t="shared" si="35"/>
        <v>0</v>
      </c>
      <c r="BL77" s="257">
        <f t="shared" si="36"/>
        <v>0</v>
      </c>
      <c r="BM77" s="257">
        <f t="shared" si="37"/>
        <v>0</v>
      </c>
      <c r="BN77" s="257">
        <f t="shared" si="38"/>
        <v>0</v>
      </c>
      <c r="BO77" s="257">
        <f t="shared" si="39"/>
        <v>0</v>
      </c>
      <c r="BP77" s="257" t="str">
        <f t="shared" si="40"/>
        <v/>
      </c>
      <c r="BQ77" t="str">
        <f>IF(AND(CC77=""),"",IF(CC77=0,"",1+(MAX(BQ$59:BQ76))))</f>
        <v/>
      </c>
      <c r="BR77" s="256">
        <v>19</v>
      </c>
      <c r="BS77" s="253">
        <f t="shared" si="41"/>
        <v>0</v>
      </c>
      <c r="BT77" s="257">
        <f t="shared" si="42"/>
        <v>0</v>
      </c>
      <c r="BU77" s="257">
        <f t="shared" si="43"/>
        <v>0</v>
      </c>
      <c r="BV77" s="257">
        <f t="shared" si="44"/>
        <v>0</v>
      </c>
      <c r="BW77" s="257">
        <f t="shared" si="45"/>
        <v>0</v>
      </c>
      <c r="BX77" s="257">
        <f t="shared" si="46"/>
        <v>0</v>
      </c>
      <c r="BY77" s="257">
        <f t="shared" si="47"/>
        <v>0</v>
      </c>
      <c r="BZ77" s="257">
        <f t="shared" si="48"/>
        <v>0</v>
      </c>
      <c r="CA77" s="257">
        <f t="shared" si="49"/>
        <v>0</v>
      </c>
      <c r="CB77" s="257">
        <f t="shared" si="50"/>
        <v>0</v>
      </c>
      <c r="CC77" s="257" t="str">
        <f t="shared" si="82"/>
        <v/>
      </c>
      <c r="CD77" t="str">
        <f>IF(AND(CP77=""),"",IF(CP77=0,"",1+(MAX(CD$59:CD76))))</f>
        <v/>
      </c>
      <c r="CE77" s="135">
        <v>19</v>
      </c>
      <c r="CF77" s="253">
        <f t="shared" si="51"/>
        <v>0</v>
      </c>
      <c r="CG77" s="257">
        <f t="shared" si="52"/>
        <v>0</v>
      </c>
      <c r="CH77" s="257">
        <f t="shared" si="53"/>
        <v>0</v>
      </c>
      <c r="CI77" s="257">
        <f t="shared" si="54"/>
        <v>0</v>
      </c>
      <c r="CJ77" s="257">
        <f t="shared" si="55"/>
        <v>0</v>
      </c>
      <c r="CK77" s="257">
        <f t="shared" si="56"/>
        <v>0</v>
      </c>
      <c r="CL77" s="257">
        <f t="shared" si="57"/>
        <v>0</v>
      </c>
      <c r="CM77" s="257">
        <f t="shared" si="58"/>
        <v>0</v>
      </c>
      <c r="CN77" s="257">
        <f t="shared" si="59"/>
        <v>0</v>
      </c>
      <c r="CO77" s="257">
        <f t="shared" si="60"/>
        <v>0</v>
      </c>
      <c r="CP77" s="257" t="str">
        <f t="shared" si="61"/>
        <v/>
      </c>
      <c r="CQ77" t="str">
        <f>IF(AND(DC77=""),"",IF(DC77=0,"",1+(MAX(CQ$59:CQ76))))</f>
        <v/>
      </c>
      <c r="CR77" s="135">
        <v>19</v>
      </c>
      <c r="CS77" s="253">
        <f t="shared" si="62"/>
        <v>0</v>
      </c>
      <c r="CT77" s="257">
        <f t="shared" si="63"/>
        <v>0</v>
      </c>
      <c r="CU77" s="257">
        <f t="shared" si="64"/>
        <v>0</v>
      </c>
      <c r="CV77" s="257">
        <f t="shared" si="65"/>
        <v>0</v>
      </c>
      <c r="CW77" s="257">
        <f t="shared" si="66"/>
        <v>0</v>
      </c>
      <c r="CX77" s="257">
        <f t="shared" si="67"/>
        <v>0</v>
      </c>
      <c r="CY77" s="257">
        <f t="shared" si="68"/>
        <v>0</v>
      </c>
      <c r="CZ77" s="257">
        <f t="shared" si="69"/>
        <v>0</v>
      </c>
      <c r="DA77" s="257">
        <f t="shared" si="70"/>
        <v>0</v>
      </c>
      <c r="DB77" s="257">
        <f t="shared" si="71"/>
        <v>0</v>
      </c>
      <c r="DC77" s="257" t="str">
        <f t="shared" si="72"/>
        <v/>
      </c>
    </row>
    <row r="78" spans="1:107" ht="20.25">
      <c r="A78" s="36">
        <v>20</v>
      </c>
      <c r="B78" s="62"/>
      <c r="C78" s="63"/>
      <c r="D78" s="64"/>
      <c r="E78" s="217"/>
      <c r="F78" s="217"/>
      <c r="G78" s="218"/>
      <c r="H78" s="65"/>
      <c r="I78" s="65"/>
      <c r="J78" s="65"/>
      <c r="K78" s="66"/>
      <c r="L78" s="75"/>
      <c r="M78" s="75"/>
      <c r="N78" s="75"/>
      <c r="AB78" t="str">
        <f t="shared" si="14"/>
        <v/>
      </c>
      <c r="AC78">
        <f t="shared" si="15"/>
        <v>1</v>
      </c>
      <c r="AD78" t="str">
        <f>IF(AND(AP78=""),"",IF(AP78=0,"",1+(MAX(AD$59:AD77))))</f>
        <v/>
      </c>
      <c r="AE78" s="135">
        <v>20</v>
      </c>
      <c r="AF78" s="253">
        <f t="shared" si="16"/>
        <v>0</v>
      </c>
      <c r="AG78" s="257">
        <f t="shared" si="17"/>
        <v>0</v>
      </c>
      <c r="AH78" s="257">
        <f t="shared" si="18"/>
        <v>0</v>
      </c>
      <c r="AI78" s="257">
        <f t="shared" si="19"/>
        <v>0</v>
      </c>
      <c r="AJ78" s="257">
        <f t="shared" si="20"/>
        <v>0</v>
      </c>
      <c r="AK78" s="257">
        <f t="shared" si="21"/>
        <v>0</v>
      </c>
      <c r="AL78" s="257">
        <f t="shared" si="22"/>
        <v>0</v>
      </c>
      <c r="AM78" s="257">
        <f t="shared" si="23"/>
        <v>0</v>
      </c>
      <c r="AN78" s="257">
        <f t="shared" si="24"/>
        <v>0</v>
      </c>
      <c r="AO78" s="257">
        <f t="shared" si="25"/>
        <v>0</v>
      </c>
      <c r="AP78" s="257" t="str">
        <f t="shared" si="26"/>
        <v/>
      </c>
      <c r="AQ78" t="str">
        <f>IF(AND(BC78=""),"",IF(BC78=0,"",1+(MAX(AQ$59:AQ77))))</f>
        <v/>
      </c>
      <c r="AR78" s="256">
        <v>20</v>
      </c>
      <c r="AS78" s="253">
        <f t="shared" si="73"/>
        <v>0</v>
      </c>
      <c r="AT78" s="254">
        <f t="shared" si="74"/>
        <v>0</v>
      </c>
      <c r="AU78" s="254">
        <f t="shared" si="75"/>
        <v>0</v>
      </c>
      <c r="AV78" s="254">
        <f t="shared" si="76"/>
        <v>0</v>
      </c>
      <c r="AW78" s="254">
        <f t="shared" si="77"/>
        <v>0</v>
      </c>
      <c r="AX78" s="254">
        <f t="shared" si="78"/>
        <v>0</v>
      </c>
      <c r="AY78" s="254">
        <f t="shared" si="79"/>
        <v>0</v>
      </c>
      <c r="AZ78" s="254">
        <f t="shared" si="80"/>
        <v>0</v>
      </c>
      <c r="BA78" s="254">
        <f t="shared" si="81"/>
        <v>0</v>
      </c>
      <c r="BB78" s="254">
        <f t="shared" si="28"/>
        <v>0</v>
      </c>
      <c r="BC78" s="257" t="str">
        <f t="shared" si="29"/>
        <v/>
      </c>
      <c r="BD78" t="str">
        <f>IF(AND(BP78=""),"",IF(BP78=0,"",1+(MAX(BD$59:BD77))))</f>
        <v/>
      </c>
      <c r="BE78" s="135">
        <v>20</v>
      </c>
      <c r="BF78" s="253">
        <f t="shared" si="30"/>
        <v>0</v>
      </c>
      <c r="BG78" s="257">
        <f t="shared" si="31"/>
        <v>0</v>
      </c>
      <c r="BH78" s="257">
        <f t="shared" si="32"/>
        <v>0</v>
      </c>
      <c r="BI78" s="257">
        <f t="shared" si="33"/>
        <v>0</v>
      </c>
      <c r="BJ78" s="257">
        <f t="shared" si="34"/>
        <v>0</v>
      </c>
      <c r="BK78" s="257">
        <f t="shared" si="35"/>
        <v>0</v>
      </c>
      <c r="BL78" s="257">
        <f t="shared" si="36"/>
        <v>0</v>
      </c>
      <c r="BM78" s="257">
        <f t="shared" si="37"/>
        <v>0</v>
      </c>
      <c r="BN78" s="257">
        <f t="shared" si="38"/>
        <v>0</v>
      </c>
      <c r="BO78" s="257">
        <f t="shared" si="39"/>
        <v>0</v>
      </c>
      <c r="BP78" s="257" t="str">
        <f t="shared" si="40"/>
        <v/>
      </c>
      <c r="BQ78" t="str">
        <f>IF(AND(CC78=""),"",IF(CC78=0,"",1+(MAX(BQ$59:BQ77))))</f>
        <v/>
      </c>
      <c r="BR78" s="256">
        <v>20</v>
      </c>
      <c r="BS78" s="253">
        <f t="shared" si="41"/>
        <v>0</v>
      </c>
      <c r="BT78" s="257">
        <f t="shared" si="42"/>
        <v>0</v>
      </c>
      <c r="BU78" s="257">
        <f t="shared" si="43"/>
        <v>0</v>
      </c>
      <c r="BV78" s="257">
        <f t="shared" si="44"/>
        <v>0</v>
      </c>
      <c r="BW78" s="257">
        <f t="shared" si="45"/>
        <v>0</v>
      </c>
      <c r="BX78" s="257">
        <f t="shared" si="46"/>
        <v>0</v>
      </c>
      <c r="BY78" s="257">
        <f t="shared" si="47"/>
        <v>0</v>
      </c>
      <c r="BZ78" s="257">
        <f t="shared" si="48"/>
        <v>0</v>
      </c>
      <c r="CA78" s="257">
        <f t="shared" si="49"/>
        <v>0</v>
      </c>
      <c r="CB78" s="257">
        <f t="shared" si="50"/>
        <v>0</v>
      </c>
      <c r="CC78" s="257" t="str">
        <f t="shared" si="82"/>
        <v/>
      </c>
      <c r="CD78" t="str">
        <f>IF(AND(CP78=""),"",IF(CP78=0,"",1+(MAX(CD$59:CD77))))</f>
        <v/>
      </c>
      <c r="CE78" s="135">
        <v>20</v>
      </c>
      <c r="CF78" s="253">
        <f t="shared" si="51"/>
        <v>0</v>
      </c>
      <c r="CG78" s="257">
        <f t="shared" si="52"/>
        <v>0</v>
      </c>
      <c r="CH78" s="257">
        <f t="shared" si="53"/>
        <v>0</v>
      </c>
      <c r="CI78" s="257">
        <f t="shared" si="54"/>
        <v>0</v>
      </c>
      <c r="CJ78" s="257">
        <f t="shared" si="55"/>
        <v>0</v>
      </c>
      <c r="CK78" s="257">
        <f t="shared" si="56"/>
        <v>0</v>
      </c>
      <c r="CL78" s="257">
        <f t="shared" si="57"/>
        <v>0</v>
      </c>
      <c r="CM78" s="257">
        <f t="shared" si="58"/>
        <v>0</v>
      </c>
      <c r="CN78" s="257">
        <f t="shared" si="59"/>
        <v>0</v>
      </c>
      <c r="CO78" s="257">
        <f t="shared" si="60"/>
        <v>0</v>
      </c>
      <c r="CP78" s="257" t="str">
        <f t="shared" si="61"/>
        <v/>
      </c>
      <c r="CQ78" t="str">
        <f>IF(AND(DC78=""),"",IF(DC78=0,"",1+(MAX(CQ$59:CQ77))))</f>
        <v/>
      </c>
      <c r="CR78" s="256">
        <v>20</v>
      </c>
      <c r="CS78" s="253">
        <f t="shared" si="62"/>
        <v>0</v>
      </c>
      <c r="CT78" s="257">
        <f t="shared" si="63"/>
        <v>0</v>
      </c>
      <c r="CU78" s="257">
        <f t="shared" si="64"/>
        <v>0</v>
      </c>
      <c r="CV78" s="257">
        <f t="shared" si="65"/>
        <v>0</v>
      </c>
      <c r="CW78" s="257">
        <f t="shared" si="66"/>
        <v>0</v>
      </c>
      <c r="CX78" s="257">
        <f t="shared" si="67"/>
        <v>0</v>
      </c>
      <c r="CY78" s="257">
        <f t="shared" si="68"/>
        <v>0</v>
      </c>
      <c r="CZ78" s="257">
        <f t="shared" si="69"/>
        <v>0</v>
      </c>
      <c r="DA78" s="257">
        <f t="shared" si="70"/>
        <v>0</v>
      </c>
      <c r="DB78" s="257">
        <f t="shared" si="71"/>
        <v>0</v>
      </c>
      <c r="DC78" s="257" t="str">
        <f t="shared" si="72"/>
        <v/>
      </c>
    </row>
    <row r="79" spans="1:107" ht="20.25">
      <c r="A79" s="36">
        <v>21</v>
      </c>
      <c r="B79" s="62"/>
      <c r="C79" s="63"/>
      <c r="D79" s="64"/>
      <c r="E79" s="217"/>
      <c r="F79" s="217"/>
      <c r="G79" s="218"/>
      <c r="H79" s="65"/>
      <c r="I79" s="65"/>
      <c r="J79" s="65"/>
      <c r="K79" s="66"/>
      <c r="L79" s="75"/>
      <c r="M79" s="75"/>
      <c r="N79" s="75"/>
      <c r="AB79" t="str">
        <f t="shared" si="14"/>
        <v/>
      </c>
      <c r="AC79">
        <f t="shared" si="15"/>
        <v>1</v>
      </c>
      <c r="AD79" t="str">
        <f>IF(AND(AP79=""),"",IF(AP79=0,"",1+(MAX(AD$59:AD78))))</f>
        <v/>
      </c>
      <c r="AE79" s="135">
        <v>21</v>
      </c>
      <c r="AF79" s="253">
        <f t="shared" si="16"/>
        <v>0</v>
      </c>
      <c r="AG79" s="257">
        <f t="shared" si="17"/>
        <v>0</v>
      </c>
      <c r="AH79" s="257">
        <f t="shared" si="18"/>
        <v>0</v>
      </c>
      <c r="AI79" s="257">
        <f t="shared" si="19"/>
        <v>0</v>
      </c>
      <c r="AJ79" s="257">
        <f t="shared" si="20"/>
        <v>0</v>
      </c>
      <c r="AK79" s="257">
        <f t="shared" si="21"/>
        <v>0</v>
      </c>
      <c r="AL79" s="257">
        <f t="shared" si="22"/>
        <v>0</v>
      </c>
      <c r="AM79" s="257">
        <f t="shared" si="23"/>
        <v>0</v>
      </c>
      <c r="AN79" s="257">
        <f t="shared" si="24"/>
        <v>0</v>
      </c>
      <c r="AO79" s="257">
        <f t="shared" si="25"/>
        <v>0</v>
      </c>
      <c r="AP79" s="257" t="str">
        <f t="shared" si="26"/>
        <v/>
      </c>
      <c r="AQ79" t="str">
        <f>IF(AND(BC79=""),"",IF(BC79=0,"",1+(MAX(AQ$59:AQ78))))</f>
        <v/>
      </c>
      <c r="AR79" s="256">
        <v>21</v>
      </c>
      <c r="AS79" s="253">
        <f t="shared" si="73"/>
        <v>0</v>
      </c>
      <c r="AT79" s="254">
        <f t="shared" si="74"/>
        <v>0</v>
      </c>
      <c r="AU79" s="254">
        <f t="shared" si="75"/>
        <v>0</v>
      </c>
      <c r="AV79" s="254">
        <f t="shared" si="76"/>
        <v>0</v>
      </c>
      <c r="AW79" s="254">
        <f t="shared" si="77"/>
        <v>0</v>
      </c>
      <c r="AX79" s="254">
        <f t="shared" si="78"/>
        <v>0</v>
      </c>
      <c r="AY79" s="254">
        <f t="shared" si="79"/>
        <v>0</v>
      </c>
      <c r="AZ79" s="254">
        <f t="shared" si="80"/>
        <v>0</v>
      </c>
      <c r="BA79" s="254">
        <f t="shared" si="81"/>
        <v>0</v>
      </c>
      <c r="BB79" s="254">
        <f t="shared" si="28"/>
        <v>0</v>
      </c>
      <c r="BC79" s="257" t="str">
        <f t="shared" si="29"/>
        <v/>
      </c>
      <c r="BD79" t="str">
        <f>IF(AND(BP79=""),"",IF(BP79=0,"",1+(MAX(BD$59:BD78))))</f>
        <v/>
      </c>
      <c r="BE79" s="135">
        <v>21</v>
      </c>
      <c r="BF79" s="253">
        <f t="shared" si="30"/>
        <v>0</v>
      </c>
      <c r="BG79" s="257">
        <f t="shared" si="31"/>
        <v>0</v>
      </c>
      <c r="BH79" s="257">
        <f t="shared" si="32"/>
        <v>0</v>
      </c>
      <c r="BI79" s="257">
        <f t="shared" si="33"/>
        <v>0</v>
      </c>
      <c r="BJ79" s="257">
        <f t="shared" si="34"/>
        <v>0</v>
      </c>
      <c r="BK79" s="257">
        <f t="shared" si="35"/>
        <v>0</v>
      </c>
      <c r="BL79" s="257">
        <f t="shared" si="36"/>
        <v>0</v>
      </c>
      <c r="BM79" s="257">
        <f t="shared" si="37"/>
        <v>0</v>
      </c>
      <c r="BN79" s="257">
        <f t="shared" si="38"/>
        <v>0</v>
      </c>
      <c r="BO79" s="257">
        <f t="shared" si="39"/>
        <v>0</v>
      </c>
      <c r="BP79" s="257" t="str">
        <f t="shared" si="40"/>
        <v/>
      </c>
      <c r="BQ79" t="str">
        <f>IF(AND(CC79=""),"",IF(CC79=0,"",1+(MAX(BQ$59:BQ78))))</f>
        <v/>
      </c>
      <c r="BR79" s="256">
        <v>21</v>
      </c>
      <c r="BS79" s="253">
        <f t="shared" si="41"/>
        <v>0</v>
      </c>
      <c r="BT79" s="257">
        <f t="shared" si="42"/>
        <v>0</v>
      </c>
      <c r="BU79" s="257">
        <f t="shared" si="43"/>
        <v>0</v>
      </c>
      <c r="BV79" s="257">
        <f t="shared" si="44"/>
        <v>0</v>
      </c>
      <c r="BW79" s="257">
        <f t="shared" si="45"/>
        <v>0</v>
      </c>
      <c r="BX79" s="257">
        <f t="shared" si="46"/>
        <v>0</v>
      </c>
      <c r="BY79" s="257">
        <f t="shared" si="47"/>
        <v>0</v>
      </c>
      <c r="BZ79" s="257">
        <f t="shared" si="48"/>
        <v>0</v>
      </c>
      <c r="CA79" s="257">
        <f t="shared" si="49"/>
        <v>0</v>
      </c>
      <c r="CB79" s="257">
        <f t="shared" si="50"/>
        <v>0</v>
      </c>
      <c r="CC79" s="257" t="str">
        <f t="shared" si="82"/>
        <v/>
      </c>
      <c r="CD79" t="str">
        <f>IF(AND(CP79=""),"",IF(CP79=0,"",1+(MAX(CD$59:CD78))))</f>
        <v/>
      </c>
      <c r="CE79" s="135">
        <v>21</v>
      </c>
      <c r="CF79" s="253">
        <f t="shared" si="51"/>
        <v>0</v>
      </c>
      <c r="CG79" s="257">
        <f t="shared" si="52"/>
        <v>0</v>
      </c>
      <c r="CH79" s="257">
        <f t="shared" si="53"/>
        <v>0</v>
      </c>
      <c r="CI79" s="257">
        <f t="shared" si="54"/>
        <v>0</v>
      </c>
      <c r="CJ79" s="257">
        <f t="shared" si="55"/>
        <v>0</v>
      </c>
      <c r="CK79" s="257">
        <f t="shared" si="56"/>
        <v>0</v>
      </c>
      <c r="CL79" s="257">
        <f t="shared" si="57"/>
        <v>0</v>
      </c>
      <c r="CM79" s="257">
        <f t="shared" si="58"/>
        <v>0</v>
      </c>
      <c r="CN79" s="257">
        <f t="shared" si="59"/>
        <v>0</v>
      </c>
      <c r="CO79" s="257">
        <f t="shared" si="60"/>
        <v>0</v>
      </c>
      <c r="CP79" s="257" t="str">
        <f t="shared" si="61"/>
        <v/>
      </c>
      <c r="CQ79" t="str">
        <f>IF(AND(DC79=""),"",IF(DC79=0,"",1+(MAX(CQ$59:CQ78))))</f>
        <v/>
      </c>
      <c r="CR79" s="135">
        <v>21</v>
      </c>
      <c r="CS79" s="253">
        <f t="shared" si="62"/>
        <v>0</v>
      </c>
      <c r="CT79" s="257">
        <f t="shared" si="63"/>
        <v>0</v>
      </c>
      <c r="CU79" s="257">
        <f t="shared" si="64"/>
        <v>0</v>
      </c>
      <c r="CV79" s="257">
        <f t="shared" si="65"/>
        <v>0</v>
      </c>
      <c r="CW79" s="257">
        <f t="shared" si="66"/>
        <v>0</v>
      </c>
      <c r="CX79" s="257">
        <f t="shared" si="67"/>
        <v>0</v>
      </c>
      <c r="CY79" s="257">
        <f t="shared" si="68"/>
        <v>0</v>
      </c>
      <c r="CZ79" s="257">
        <f t="shared" si="69"/>
        <v>0</v>
      </c>
      <c r="DA79" s="257">
        <f t="shared" si="70"/>
        <v>0</v>
      </c>
      <c r="DB79" s="257">
        <f t="shared" si="71"/>
        <v>0</v>
      </c>
      <c r="DC79" s="257" t="str">
        <f t="shared" si="72"/>
        <v/>
      </c>
    </row>
    <row r="80" spans="1:107" ht="20.25">
      <c r="A80" s="36">
        <v>22</v>
      </c>
      <c r="B80" s="62"/>
      <c r="C80" s="63"/>
      <c r="D80" s="64"/>
      <c r="E80" s="217"/>
      <c r="F80" s="217"/>
      <c r="G80" s="218"/>
      <c r="H80" s="65"/>
      <c r="I80" s="65"/>
      <c r="J80" s="65"/>
      <c r="K80" s="66"/>
      <c r="L80" s="75"/>
      <c r="M80" s="75"/>
      <c r="N80" s="75"/>
      <c r="AB80" t="str">
        <f t="shared" si="14"/>
        <v/>
      </c>
      <c r="AC80">
        <f t="shared" si="15"/>
        <v>1</v>
      </c>
      <c r="AD80" t="str">
        <f>IF(AND(AP80=""),"",IF(AP80=0,"",1+(MAX(AD$59:AD79))))</f>
        <v/>
      </c>
      <c r="AE80" s="135">
        <v>22</v>
      </c>
      <c r="AF80" s="253">
        <f t="shared" si="16"/>
        <v>0</v>
      </c>
      <c r="AG80" s="257">
        <f t="shared" si="17"/>
        <v>0</v>
      </c>
      <c r="AH80" s="257">
        <f t="shared" si="18"/>
        <v>0</v>
      </c>
      <c r="AI80" s="257">
        <f t="shared" si="19"/>
        <v>0</v>
      </c>
      <c r="AJ80" s="257">
        <f t="shared" si="20"/>
        <v>0</v>
      </c>
      <c r="AK80" s="257">
        <f t="shared" si="21"/>
        <v>0</v>
      </c>
      <c r="AL80" s="257">
        <f t="shared" si="22"/>
        <v>0</v>
      </c>
      <c r="AM80" s="257">
        <f t="shared" si="23"/>
        <v>0</v>
      </c>
      <c r="AN80" s="257">
        <f t="shared" si="24"/>
        <v>0</v>
      </c>
      <c r="AO80" s="257">
        <f t="shared" si="25"/>
        <v>0</v>
      </c>
      <c r="AP80" s="257" t="str">
        <f t="shared" si="26"/>
        <v/>
      </c>
      <c r="AQ80" t="str">
        <f>IF(AND(BC80=""),"",IF(BC80=0,"",1+(MAX(AQ$59:AQ79))))</f>
        <v/>
      </c>
      <c r="AR80" s="256">
        <v>22</v>
      </c>
      <c r="AS80" s="253">
        <f t="shared" si="73"/>
        <v>0</v>
      </c>
      <c r="AT80" s="254">
        <f t="shared" si="74"/>
        <v>0</v>
      </c>
      <c r="AU80" s="254">
        <f t="shared" si="75"/>
        <v>0</v>
      </c>
      <c r="AV80" s="254">
        <f t="shared" si="76"/>
        <v>0</v>
      </c>
      <c r="AW80" s="254">
        <f t="shared" si="77"/>
        <v>0</v>
      </c>
      <c r="AX80" s="254">
        <f t="shared" si="78"/>
        <v>0</v>
      </c>
      <c r="AY80" s="254">
        <f t="shared" si="79"/>
        <v>0</v>
      </c>
      <c r="AZ80" s="254">
        <f t="shared" si="80"/>
        <v>0</v>
      </c>
      <c r="BA80" s="254">
        <f t="shared" si="81"/>
        <v>0</v>
      </c>
      <c r="BB80" s="254">
        <f t="shared" si="28"/>
        <v>0</v>
      </c>
      <c r="BC80" s="257" t="str">
        <f t="shared" si="29"/>
        <v/>
      </c>
      <c r="BD80" t="str">
        <f>IF(AND(BP80=""),"",IF(BP80=0,"",1+(MAX(BD$59:BD79))))</f>
        <v/>
      </c>
      <c r="BE80" s="135">
        <v>22</v>
      </c>
      <c r="BF80" s="253">
        <f t="shared" si="30"/>
        <v>0</v>
      </c>
      <c r="BG80" s="257">
        <f t="shared" si="31"/>
        <v>0</v>
      </c>
      <c r="BH80" s="257">
        <f t="shared" si="32"/>
        <v>0</v>
      </c>
      <c r="BI80" s="257">
        <f t="shared" si="33"/>
        <v>0</v>
      </c>
      <c r="BJ80" s="257">
        <f t="shared" si="34"/>
        <v>0</v>
      </c>
      <c r="BK80" s="257">
        <f t="shared" si="35"/>
        <v>0</v>
      </c>
      <c r="BL80" s="257">
        <f t="shared" si="36"/>
        <v>0</v>
      </c>
      <c r="BM80" s="257">
        <f t="shared" si="37"/>
        <v>0</v>
      </c>
      <c r="BN80" s="257">
        <f t="shared" si="38"/>
        <v>0</v>
      </c>
      <c r="BO80" s="257">
        <f t="shared" si="39"/>
        <v>0</v>
      </c>
      <c r="BP80" s="257" t="str">
        <f t="shared" si="40"/>
        <v/>
      </c>
      <c r="BQ80" t="str">
        <f>IF(AND(CC80=""),"",IF(CC80=0,"",1+(MAX(BQ$59:BQ79))))</f>
        <v/>
      </c>
      <c r="BR80" s="256">
        <v>22</v>
      </c>
      <c r="BS80" s="253">
        <f t="shared" si="41"/>
        <v>0</v>
      </c>
      <c r="BT80" s="257">
        <f t="shared" si="42"/>
        <v>0</v>
      </c>
      <c r="BU80" s="257">
        <f t="shared" si="43"/>
        <v>0</v>
      </c>
      <c r="BV80" s="257">
        <f t="shared" si="44"/>
        <v>0</v>
      </c>
      <c r="BW80" s="257">
        <f t="shared" si="45"/>
        <v>0</v>
      </c>
      <c r="BX80" s="257">
        <f t="shared" si="46"/>
        <v>0</v>
      </c>
      <c r="BY80" s="257">
        <f t="shared" si="47"/>
        <v>0</v>
      </c>
      <c r="BZ80" s="257">
        <f t="shared" si="48"/>
        <v>0</v>
      </c>
      <c r="CA80" s="257">
        <f t="shared" si="49"/>
        <v>0</v>
      </c>
      <c r="CB80" s="257">
        <f t="shared" si="50"/>
        <v>0</v>
      </c>
      <c r="CC80" s="257" t="str">
        <f t="shared" si="82"/>
        <v/>
      </c>
      <c r="CD80" t="str">
        <f>IF(AND(CP80=""),"",IF(CP80=0,"",1+(MAX(CD$59:CD79))))</f>
        <v/>
      </c>
      <c r="CE80" s="135">
        <v>22</v>
      </c>
      <c r="CF80" s="253">
        <f t="shared" si="51"/>
        <v>0</v>
      </c>
      <c r="CG80" s="257">
        <f t="shared" si="52"/>
        <v>0</v>
      </c>
      <c r="CH80" s="257">
        <f t="shared" si="53"/>
        <v>0</v>
      </c>
      <c r="CI80" s="257">
        <f t="shared" si="54"/>
        <v>0</v>
      </c>
      <c r="CJ80" s="257">
        <f t="shared" si="55"/>
        <v>0</v>
      </c>
      <c r="CK80" s="257">
        <f t="shared" si="56"/>
        <v>0</v>
      </c>
      <c r="CL80" s="257">
        <f t="shared" si="57"/>
        <v>0</v>
      </c>
      <c r="CM80" s="257">
        <f t="shared" si="58"/>
        <v>0</v>
      </c>
      <c r="CN80" s="257">
        <f t="shared" si="59"/>
        <v>0</v>
      </c>
      <c r="CO80" s="257">
        <f t="shared" si="60"/>
        <v>0</v>
      </c>
      <c r="CP80" s="257" t="str">
        <f t="shared" si="61"/>
        <v/>
      </c>
      <c r="CQ80" t="str">
        <f>IF(AND(DC80=""),"",IF(DC80=0,"",1+(MAX(CQ$59:CQ79))))</f>
        <v/>
      </c>
      <c r="CR80" s="256">
        <v>22</v>
      </c>
      <c r="CS80" s="253">
        <f t="shared" si="62"/>
        <v>0</v>
      </c>
      <c r="CT80" s="257">
        <f t="shared" si="63"/>
        <v>0</v>
      </c>
      <c r="CU80" s="257">
        <f t="shared" si="64"/>
        <v>0</v>
      </c>
      <c r="CV80" s="257">
        <f t="shared" si="65"/>
        <v>0</v>
      </c>
      <c r="CW80" s="257">
        <f t="shared" si="66"/>
        <v>0</v>
      </c>
      <c r="CX80" s="257">
        <f t="shared" si="67"/>
        <v>0</v>
      </c>
      <c r="CY80" s="257">
        <f t="shared" si="68"/>
        <v>0</v>
      </c>
      <c r="CZ80" s="257">
        <f t="shared" si="69"/>
        <v>0</v>
      </c>
      <c r="DA80" s="257">
        <f t="shared" si="70"/>
        <v>0</v>
      </c>
      <c r="DB80" s="257">
        <f t="shared" si="71"/>
        <v>0</v>
      </c>
      <c r="DC80" s="257" t="str">
        <f t="shared" si="72"/>
        <v/>
      </c>
    </row>
    <row r="81" spans="1:107" ht="20.25">
      <c r="A81" s="36">
        <v>23</v>
      </c>
      <c r="B81" s="62"/>
      <c r="C81" s="63"/>
      <c r="D81" s="64"/>
      <c r="E81" s="217"/>
      <c r="F81" s="217"/>
      <c r="G81" s="218"/>
      <c r="H81" s="65"/>
      <c r="I81" s="65"/>
      <c r="J81" s="65"/>
      <c r="K81" s="66"/>
      <c r="L81" s="75"/>
      <c r="M81" s="75"/>
      <c r="N81" s="75"/>
      <c r="AB81" t="str">
        <f t="shared" si="14"/>
        <v/>
      </c>
      <c r="AC81">
        <f t="shared" si="15"/>
        <v>1</v>
      </c>
      <c r="AD81" t="str">
        <f>IF(AND(AP81=""),"",IF(AP81=0,"",1+(MAX(AD$59:AD80))))</f>
        <v/>
      </c>
      <c r="AE81" s="135">
        <v>23</v>
      </c>
      <c r="AF81" s="253">
        <f t="shared" si="16"/>
        <v>0</v>
      </c>
      <c r="AG81" s="257">
        <f t="shared" si="17"/>
        <v>0</v>
      </c>
      <c r="AH81" s="257">
        <f t="shared" si="18"/>
        <v>0</v>
      </c>
      <c r="AI81" s="257">
        <f t="shared" si="19"/>
        <v>0</v>
      </c>
      <c r="AJ81" s="257">
        <f t="shared" si="20"/>
        <v>0</v>
      </c>
      <c r="AK81" s="257">
        <f t="shared" si="21"/>
        <v>0</v>
      </c>
      <c r="AL81" s="257">
        <f t="shared" si="22"/>
        <v>0</v>
      </c>
      <c r="AM81" s="257">
        <f t="shared" si="23"/>
        <v>0</v>
      </c>
      <c r="AN81" s="257">
        <f t="shared" si="24"/>
        <v>0</v>
      </c>
      <c r="AO81" s="257">
        <f t="shared" si="25"/>
        <v>0</v>
      </c>
      <c r="AP81" s="257" t="str">
        <f t="shared" si="26"/>
        <v/>
      </c>
      <c r="AQ81" t="str">
        <f>IF(AND(BC81=""),"",IF(BC81=0,"",1+(MAX(AQ$59:AQ80))))</f>
        <v/>
      </c>
      <c r="AR81" s="256">
        <v>23</v>
      </c>
      <c r="AS81" s="253">
        <f t="shared" si="73"/>
        <v>0</v>
      </c>
      <c r="AT81" s="254">
        <f t="shared" si="74"/>
        <v>0</v>
      </c>
      <c r="AU81" s="254">
        <f t="shared" si="75"/>
        <v>0</v>
      </c>
      <c r="AV81" s="254">
        <f t="shared" si="76"/>
        <v>0</v>
      </c>
      <c r="AW81" s="254">
        <f t="shared" si="77"/>
        <v>0</v>
      </c>
      <c r="AX81" s="254">
        <f t="shared" si="78"/>
        <v>0</v>
      </c>
      <c r="AY81" s="254">
        <f t="shared" si="79"/>
        <v>0</v>
      </c>
      <c r="AZ81" s="254">
        <f t="shared" si="80"/>
        <v>0</v>
      </c>
      <c r="BA81" s="254">
        <f t="shared" si="81"/>
        <v>0</v>
      </c>
      <c r="BB81" s="254">
        <f t="shared" si="28"/>
        <v>0</v>
      </c>
      <c r="BC81" s="257" t="str">
        <f t="shared" si="29"/>
        <v/>
      </c>
      <c r="BD81" t="str">
        <f>IF(AND(BP81=""),"",IF(BP81=0,"",1+(MAX(BD$59:BD80))))</f>
        <v/>
      </c>
      <c r="BE81" s="135">
        <v>23</v>
      </c>
      <c r="BF81" s="253">
        <f t="shared" si="30"/>
        <v>0</v>
      </c>
      <c r="BG81" s="257">
        <f t="shared" si="31"/>
        <v>0</v>
      </c>
      <c r="BH81" s="257">
        <f t="shared" si="32"/>
        <v>0</v>
      </c>
      <c r="BI81" s="257">
        <f t="shared" si="33"/>
        <v>0</v>
      </c>
      <c r="BJ81" s="257">
        <f t="shared" si="34"/>
        <v>0</v>
      </c>
      <c r="BK81" s="257">
        <f t="shared" si="35"/>
        <v>0</v>
      </c>
      <c r="BL81" s="257">
        <f t="shared" si="36"/>
        <v>0</v>
      </c>
      <c r="BM81" s="257">
        <f t="shared" si="37"/>
        <v>0</v>
      </c>
      <c r="BN81" s="257">
        <f t="shared" si="38"/>
        <v>0</v>
      </c>
      <c r="BO81" s="257">
        <f t="shared" si="39"/>
        <v>0</v>
      </c>
      <c r="BP81" s="257" t="str">
        <f t="shared" si="40"/>
        <v/>
      </c>
      <c r="BQ81" t="str">
        <f>IF(AND(CC81=""),"",IF(CC81=0,"",1+(MAX(BQ$59:BQ80))))</f>
        <v/>
      </c>
      <c r="BR81" s="256">
        <v>23</v>
      </c>
      <c r="BS81" s="253">
        <f t="shared" si="41"/>
        <v>0</v>
      </c>
      <c r="BT81" s="257">
        <f t="shared" si="42"/>
        <v>0</v>
      </c>
      <c r="BU81" s="257">
        <f t="shared" si="43"/>
        <v>0</v>
      </c>
      <c r="BV81" s="257">
        <f t="shared" si="44"/>
        <v>0</v>
      </c>
      <c r="BW81" s="257">
        <f t="shared" si="45"/>
        <v>0</v>
      </c>
      <c r="BX81" s="257">
        <f t="shared" si="46"/>
        <v>0</v>
      </c>
      <c r="BY81" s="257">
        <f t="shared" si="47"/>
        <v>0</v>
      </c>
      <c r="BZ81" s="257">
        <f t="shared" si="48"/>
        <v>0</v>
      </c>
      <c r="CA81" s="257">
        <f t="shared" si="49"/>
        <v>0</v>
      </c>
      <c r="CB81" s="257">
        <f t="shared" si="50"/>
        <v>0</v>
      </c>
      <c r="CC81" s="257" t="str">
        <f t="shared" si="82"/>
        <v/>
      </c>
      <c r="CD81" t="str">
        <f>IF(AND(CP81=""),"",IF(CP81=0,"",1+(MAX(CD$59:CD80))))</f>
        <v/>
      </c>
      <c r="CE81" s="135">
        <v>23</v>
      </c>
      <c r="CF81" s="253">
        <f t="shared" si="51"/>
        <v>0</v>
      </c>
      <c r="CG81" s="257">
        <f t="shared" si="52"/>
        <v>0</v>
      </c>
      <c r="CH81" s="257">
        <f t="shared" si="53"/>
        <v>0</v>
      </c>
      <c r="CI81" s="257">
        <f t="shared" si="54"/>
        <v>0</v>
      </c>
      <c r="CJ81" s="257">
        <f t="shared" si="55"/>
        <v>0</v>
      </c>
      <c r="CK81" s="257">
        <f t="shared" si="56"/>
        <v>0</v>
      </c>
      <c r="CL81" s="257">
        <f t="shared" si="57"/>
        <v>0</v>
      </c>
      <c r="CM81" s="257">
        <f t="shared" si="58"/>
        <v>0</v>
      </c>
      <c r="CN81" s="257">
        <f t="shared" si="59"/>
        <v>0</v>
      </c>
      <c r="CO81" s="257">
        <f t="shared" si="60"/>
        <v>0</v>
      </c>
      <c r="CP81" s="257" t="str">
        <f t="shared" si="61"/>
        <v/>
      </c>
      <c r="CQ81" t="str">
        <f>IF(AND(DC81=""),"",IF(DC81=0,"",1+(MAX(CQ$59:CQ80))))</f>
        <v/>
      </c>
      <c r="CR81" s="135">
        <v>23</v>
      </c>
      <c r="CS81" s="253">
        <f t="shared" si="62"/>
        <v>0</v>
      </c>
      <c r="CT81" s="257">
        <f t="shared" si="63"/>
        <v>0</v>
      </c>
      <c r="CU81" s="257">
        <f t="shared" si="64"/>
        <v>0</v>
      </c>
      <c r="CV81" s="257">
        <f t="shared" si="65"/>
        <v>0</v>
      </c>
      <c r="CW81" s="257">
        <f t="shared" si="66"/>
        <v>0</v>
      </c>
      <c r="CX81" s="257">
        <f t="shared" si="67"/>
        <v>0</v>
      </c>
      <c r="CY81" s="257">
        <f t="shared" si="68"/>
        <v>0</v>
      </c>
      <c r="CZ81" s="257">
        <f t="shared" si="69"/>
        <v>0</v>
      </c>
      <c r="DA81" s="257">
        <f t="shared" si="70"/>
        <v>0</v>
      </c>
      <c r="DB81" s="257">
        <f t="shared" si="71"/>
        <v>0</v>
      </c>
      <c r="DC81" s="257" t="str">
        <f t="shared" si="72"/>
        <v/>
      </c>
    </row>
    <row r="82" spans="1:107" ht="20.25">
      <c r="A82" s="36">
        <v>24</v>
      </c>
      <c r="B82" s="62"/>
      <c r="C82" s="63"/>
      <c r="D82" s="64"/>
      <c r="E82" s="217"/>
      <c r="F82" s="217"/>
      <c r="G82" s="218"/>
      <c r="H82" s="65"/>
      <c r="I82" s="65"/>
      <c r="J82" s="65"/>
      <c r="K82" s="66"/>
      <c r="L82" s="75"/>
      <c r="M82" s="75"/>
      <c r="N82" s="75"/>
      <c r="AB82" t="str">
        <f t="shared" si="14"/>
        <v/>
      </c>
      <c r="AC82">
        <f t="shared" si="15"/>
        <v>1</v>
      </c>
      <c r="AD82" t="str">
        <f>IF(AND(AP82=""),"",IF(AP82=0,"",1+(MAX(AD$59:AD81))))</f>
        <v/>
      </c>
      <c r="AE82" s="135">
        <v>24</v>
      </c>
      <c r="AF82" s="253">
        <f t="shared" si="16"/>
        <v>0</v>
      </c>
      <c r="AG82" s="257">
        <f t="shared" si="17"/>
        <v>0</v>
      </c>
      <c r="AH82" s="257">
        <f t="shared" si="18"/>
        <v>0</v>
      </c>
      <c r="AI82" s="257">
        <f t="shared" si="19"/>
        <v>0</v>
      </c>
      <c r="AJ82" s="257">
        <f t="shared" si="20"/>
        <v>0</v>
      </c>
      <c r="AK82" s="257">
        <f t="shared" si="21"/>
        <v>0</v>
      </c>
      <c r="AL82" s="257">
        <f t="shared" si="22"/>
        <v>0</v>
      </c>
      <c r="AM82" s="257">
        <f t="shared" si="23"/>
        <v>0</v>
      </c>
      <c r="AN82" s="257">
        <f t="shared" si="24"/>
        <v>0</v>
      </c>
      <c r="AO82" s="257">
        <f t="shared" si="25"/>
        <v>0</v>
      </c>
      <c r="AP82" s="257" t="str">
        <f t="shared" si="26"/>
        <v/>
      </c>
      <c r="AQ82" t="str">
        <f>IF(AND(BC82=""),"",IF(BC82=0,"",1+(MAX(AQ$59:AQ81))))</f>
        <v/>
      </c>
      <c r="AR82" s="256">
        <v>24</v>
      </c>
      <c r="AS82" s="253">
        <f t="shared" si="73"/>
        <v>0</v>
      </c>
      <c r="AT82" s="254">
        <f t="shared" si="74"/>
        <v>0</v>
      </c>
      <c r="AU82" s="254">
        <f t="shared" si="75"/>
        <v>0</v>
      </c>
      <c r="AV82" s="254">
        <f t="shared" si="76"/>
        <v>0</v>
      </c>
      <c r="AW82" s="254">
        <f t="shared" si="77"/>
        <v>0</v>
      </c>
      <c r="AX82" s="254">
        <f t="shared" si="78"/>
        <v>0</v>
      </c>
      <c r="AY82" s="254">
        <f t="shared" si="79"/>
        <v>0</v>
      </c>
      <c r="AZ82" s="254">
        <f t="shared" si="80"/>
        <v>0</v>
      </c>
      <c r="BA82" s="254">
        <f t="shared" si="81"/>
        <v>0</v>
      </c>
      <c r="BB82" s="254">
        <f t="shared" si="28"/>
        <v>0</v>
      </c>
      <c r="BC82" s="257" t="str">
        <f t="shared" si="29"/>
        <v/>
      </c>
      <c r="BD82" t="str">
        <f>IF(AND(BP82=""),"",IF(BP82=0,"",1+(MAX(BD$59:BD81))))</f>
        <v/>
      </c>
      <c r="BE82" s="135">
        <v>24</v>
      </c>
      <c r="BF82" s="253">
        <f t="shared" si="30"/>
        <v>0</v>
      </c>
      <c r="BG82" s="257">
        <f t="shared" si="31"/>
        <v>0</v>
      </c>
      <c r="BH82" s="257">
        <f t="shared" si="32"/>
        <v>0</v>
      </c>
      <c r="BI82" s="257">
        <f t="shared" si="33"/>
        <v>0</v>
      </c>
      <c r="BJ82" s="257">
        <f t="shared" si="34"/>
        <v>0</v>
      </c>
      <c r="BK82" s="257">
        <f t="shared" si="35"/>
        <v>0</v>
      </c>
      <c r="BL82" s="257">
        <f t="shared" si="36"/>
        <v>0</v>
      </c>
      <c r="BM82" s="257">
        <f t="shared" si="37"/>
        <v>0</v>
      </c>
      <c r="BN82" s="257">
        <f t="shared" si="38"/>
        <v>0</v>
      </c>
      <c r="BO82" s="257">
        <f t="shared" si="39"/>
        <v>0</v>
      </c>
      <c r="BP82" s="257" t="str">
        <f t="shared" si="40"/>
        <v/>
      </c>
      <c r="BQ82" t="str">
        <f>IF(AND(CC82=""),"",IF(CC82=0,"",1+(MAX(BQ$59:BQ81))))</f>
        <v/>
      </c>
      <c r="BR82" s="256">
        <v>24</v>
      </c>
      <c r="BS82" s="253">
        <f t="shared" si="41"/>
        <v>0</v>
      </c>
      <c r="BT82" s="257">
        <f t="shared" si="42"/>
        <v>0</v>
      </c>
      <c r="BU82" s="257">
        <f t="shared" si="43"/>
        <v>0</v>
      </c>
      <c r="BV82" s="257">
        <f t="shared" si="44"/>
        <v>0</v>
      </c>
      <c r="BW82" s="257">
        <f t="shared" si="45"/>
        <v>0</v>
      </c>
      <c r="BX82" s="257">
        <f t="shared" si="46"/>
        <v>0</v>
      </c>
      <c r="BY82" s="257">
        <f t="shared" si="47"/>
        <v>0</v>
      </c>
      <c r="BZ82" s="257">
        <f t="shared" si="48"/>
        <v>0</v>
      </c>
      <c r="CA82" s="257">
        <f t="shared" si="49"/>
        <v>0</v>
      </c>
      <c r="CB82" s="257">
        <f t="shared" si="50"/>
        <v>0</v>
      </c>
      <c r="CC82" s="257" t="str">
        <f t="shared" si="82"/>
        <v/>
      </c>
      <c r="CD82" t="str">
        <f>IF(AND(CP82=""),"",IF(CP82=0,"",1+(MAX(CD$59:CD81))))</f>
        <v/>
      </c>
      <c r="CE82" s="135">
        <v>24</v>
      </c>
      <c r="CF82" s="253">
        <f t="shared" si="51"/>
        <v>0</v>
      </c>
      <c r="CG82" s="257">
        <f t="shared" si="52"/>
        <v>0</v>
      </c>
      <c r="CH82" s="257">
        <f t="shared" si="53"/>
        <v>0</v>
      </c>
      <c r="CI82" s="257">
        <f t="shared" si="54"/>
        <v>0</v>
      </c>
      <c r="CJ82" s="257">
        <f t="shared" si="55"/>
        <v>0</v>
      </c>
      <c r="CK82" s="257">
        <f t="shared" si="56"/>
        <v>0</v>
      </c>
      <c r="CL82" s="257">
        <f t="shared" si="57"/>
        <v>0</v>
      </c>
      <c r="CM82" s="257">
        <f t="shared" si="58"/>
        <v>0</v>
      </c>
      <c r="CN82" s="257">
        <f t="shared" si="59"/>
        <v>0</v>
      </c>
      <c r="CO82" s="257">
        <f t="shared" si="60"/>
        <v>0</v>
      </c>
      <c r="CP82" s="257" t="str">
        <f t="shared" si="61"/>
        <v/>
      </c>
      <c r="CQ82" t="str">
        <f>IF(AND(DC82=""),"",IF(DC82=0,"",1+(MAX(CQ$59:CQ81))))</f>
        <v/>
      </c>
      <c r="CR82" s="256">
        <v>24</v>
      </c>
      <c r="CS82" s="253">
        <f t="shared" si="62"/>
        <v>0</v>
      </c>
      <c r="CT82" s="257">
        <f t="shared" si="63"/>
        <v>0</v>
      </c>
      <c r="CU82" s="257">
        <f t="shared" si="64"/>
        <v>0</v>
      </c>
      <c r="CV82" s="257">
        <f t="shared" si="65"/>
        <v>0</v>
      </c>
      <c r="CW82" s="257">
        <f t="shared" si="66"/>
        <v>0</v>
      </c>
      <c r="CX82" s="257">
        <f t="shared" si="67"/>
        <v>0</v>
      </c>
      <c r="CY82" s="257">
        <f t="shared" si="68"/>
        <v>0</v>
      </c>
      <c r="CZ82" s="257">
        <f t="shared" si="69"/>
        <v>0</v>
      </c>
      <c r="DA82" s="257">
        <f t="shared" si="70"/>
        <v>0</v>
      </c>
      <c r="DB82" s="257">
        <f t="shared" si="71"/>
        <v>0</v>
      </c>
      <c r="DC82" s="257" t="str">
        <f t="shared" si="72"/>
        <v/>
      </c>
    </row>
    <row r="83" spans="1:107" ht="20.25">
      <c r="A83" s="36">
        <v>25</v>
      </c>
      <c r="B83" s="62"/>
      <c r="C83" s="63"/>
      <c r="D83" s="64"/>
      <c r="E83" s="217"/>
      <c r="F83" s="217"/>
      <c r="G83" s="218"/>
      <c r="H83" s="65"/>
      <c r="I83" s="65"/>
      <c r="J83" s="65"/>
      <c r="K83" s="66"/>
      <c r="L83" s="75"/>
      <c r="M83" s="75"/>
      <c r="N83" s="75"/>
      <c r="AB83" t="str">
        <f t="shared" si="14"/>
        <v/>
      </c>
      <c r="AC83">
        <f t="shared" si="15"/>
        <v>1</v>
      </c>
      <c r="AD83" t="str">
        <f>IF(AND(AP83=""),"",IF(AP83=0,"",1+(MAX(AD$59:AD82))))</f>
        <v/>
      </c>
      <c r="AE83" s="135">
        <v>25</v>
      </c>
      <c r="AF83" s="253">
        <f t="shared" si="16"/>
        <v>0</v>
      </c>
      <c r="AG83" s="257">
        <f t="shared" si="17"/>
        <v>0</v>
      </c>
      <c r="AH83" s="257">
        <f t="shared" si="18"/>
        <v>0</v>
      </c>
      <c r="AI83" s="257">
        <f t="shared" si="19"/>
        <v>0</v>
      </c>
      <c r="AJ83" s="257">
        <f t="shared" si="20"/>
        <v>0</v>
      </c>
      <c r="AK83" s="257">
        <f t="shared" si="21"/>
        <v>0</v>
      </c>
      <c r="AL83" s="257">
        <f t="shared" si="22"/>
        <v>0</v>
      </c>
      <c r="AM83" s="257">
        <f t="shared" si="23"/>
        <v>0</v>
      </c>
      <c r="AN83" s="257">
        <f t="shared" si="24"/>
        <v>0</v>
      </c>
      <c r="AO83" s="257">
        <f t="shared" si="25"/>
        <v>0</v>
      </c>
      <c r="AP83" s="257" t="str">
        <f t="shared" si="26"/>
        <v/>
      </c>
      <c r="AQ83" t="str">
        <f>IF(AND(BC83=""),"",IF(BC83=0,"",1+(MAX(AQ$59:AQ82))))</f>
        <v/>
      </c>
      <c r="AR83" s="256">
        <v>25</v>
      </c>
      <c r="AS83" s="253">
        <f t="shared" si="73"/>
        <v>0</v>
      </c>
      <c r="AT83" s="254">
        <f t="shared" si="74"/>
        <v>0</v>
      </c>
      <c r="AU83" s="254">
        <f t="shared" si="75"/>
        <v>0</v>
      </c>
      <c r="AV83" s="254">
        <f t="shared" si="76"/>
        <v>0</v>
      </c>
      <c r="AW83" s="254">
        <f t="shared" si="77"/>
        <v>0</v>
      </c>
      <c r="AX83" s="254">
        <f t="shared" si="78"/>
        <v>0</v>
      </c>
      <c r="AY83" s="254">
        <f t="shared" si="79"/>
        <v>0</v>
      </c>
      <c r="AZ83" s="254">
        <f t="shared" si="80"/>
        <v>0</v>
      </c>
      <c r="BA83" s="254">
        <f t="shared" si="81"/>
        <v>0</v>
      </c>
      <c r="BB83" s="254">
        <f t="shared" si="28"/>
        <v>0</v>
      </c>
      <c r="BC83" s="257" t="str">
        <f t="shared" si="29"/>
        <v/>
      </c>
      <c r="BD83" t="str">
        <f>IF(AND(BP83=""),"",IF(BP83=0,"",1+(MAX(BD$59:BD82))))</f>
        <v/>
      </c>
      <c r="BE83" s="135">
        <v>25</v>
      </c>
      <c r="BF83" s="253">
        <f t="shared" si="30"/>
        <v>0</v>
      </c>
      <c r="BG83" s="257">
        <f t="shared" si="31"/>
        <v>0</v>
      </c>
      <c r="BH83" s="257">
        <f t="shared" si="32"/>
        <v>0</v>
      </c>
      <c r="BI83" s="257">
        <f t="shared" si="33"/>
        <v>0</v>
      </c>
      <c r="BJ83" s="257">
        <f t="shared" si="34"/>
        <v>0</v>
      </c>
      <c r="BK83" s="257">
        <f t="shared" si="35"/>
        <v>0</v>
      </c>
      <c r="BL83" s="257">
        <f t="shared" si="36"/>
        <v>0</v>
      </c>
      <c r="BM83" s="257">
        <f t="shared" si="37"/>
        <v>0</v>
      </c>
      <c r="BN83" s="257">
        <f t="shared" si="38"/>
        <v>0</v>
      </c>
      <c r="BO83" s="257">
        <f t="shared" si="39"/>
        <v>0</v>
      </c>
      <c r="BP83" s="257" t="str">
        <f t="shared" si="40"/>
        <v/>
      </c>
      <c r="BQ83" t="str">
        <f>IF(AND(CC83=""),"",IF(CC83=0,"",1+(MAX(BQ$59:BQ82))))</f>
        <v/>
      </c>
      <c r="BR83" s="256">
        <v>25</v>
      </c>
      <c r="BS83" s="253">
        <f t="shared" si="41"/>
        <v>0</v>
      </c>
      <c r="BT83" s="257">
        <f t="shared" si="42"/>
        <v>0</v>
      </c>
      <c r="BU83" s="257">
        <f t="shared" si="43"/>
        <v>0</v>
      </c>
      <c r="BV83" s="257">
        <f t="shared" si="44"/>
        <v>0</v>
      </c>
      <c r="BW83" s="257">
        <f t="shared" si="45"/>
        <v>0</v>
      </c>
      <c r="BX83" s="257">
        <f t="shared" si="46"/>
        <v>0</v>
      </c>
      <c r="BY83" s="257">
        <f t="shared" si="47"/>
        <v>0</v>
      </c>
      <c r="BZ83" s="257">
        <f t="shared" si="48"/>
        <v>0</v>
      </c>
      <c r="CA83" s="257">
        <f t="shared" si="49"/>
        <v>0</v>
      </c>
      <c r="CB83" s="257">
        <f t="shared" si="50"/>
        <v>0</v>
      </c>
      <c r="CC83" s="257" t="str">
        <f t="shared" si="82"/>
        <v/>
      </c>
      <c r="CD83" t="str">
        <f>IF(AND(CP83=""),"",IF(CP83=0,"",1+(MAX(CD$59:CD82))))</f>
        <v/>
      </c>
      <c r="CE83" s="135">
        <v>25</v>
      </c>
      <c r="CF83" s="253">
        <f t="shared" si="51"/>
        <v>0</v>
      </c>
      <c r="CG83" s="257">
        <f t="shared" si="52"/>
        <v>0</v>
      </c>
      <c r="CH83" s="257">
        <f t="shared" si="53"/>
        <v>0</v>
      </c>
      <c r="CI83" s="257">
        <f t="shared" si="54"/>
        <v>0</v>
      </c>
      <c r="CJ83" s="257">
        <f t="shared" si="55"/>
        <v>0</v>
      </c>
      <c r="CK83" s="257">
        <f t="shared" si="56"/>
        <v>0</v>
      </c>
      <c r="CL83" s="257">
        <f t="shared" si="57"/>
        <v>0</v>
      </c>
      <c r="CM83" s="257">
        <f t="shared" si="58"/>
        <v>0</v>
      </c>
      <c r="CN83" s="257">
        <f t="shared" si="59"/>
        <v>0</v>
      </c>
      <c r="CO83" s="257">
        <f t="shared" si="60"/>
        <v>0</v>
      </c>
      <c r="CP83" s="257" t="str">
        <f t="shared" si="61"/>
        <v/>
      </c>
      <c r="CQ83" t="str">
        <f>IF(AND(DC83=""),"",IF(DC83=0,"",1+(MAX(CQ$59:CQ82))))</f>
        <v/>
      </c>
      <c r="CR83" s="135">
        <v>25</v>
      </c>
      <c r="CS83" s="253">
        <f t="shared" si="62"/>
        <v>0</v>
      </c>
      <c r="CT83" s="257">
        <f t="shared" si="63"/>
        <v>0</v>
      </c>
      <c r="CU83" s="257">
        <f t="shared" si="64"/>
        <v>0</v>
      </c>
      <c r="CV83" s="257">
        <f t="shared" si="65"/>
        <v>0</v>
      </c>
      <c r="CW83" s="257">
        <f t="shared" si="66"/>
        <v>0</v>
      </c>
      <c r="CX83" s="257">
        <f t="shared" si="67"/>
        <v>0</v>
      </c>
      <c r="CY83" s="257">
        <f t="shared" si="68"/>
        <v>0</v>
      </c>
      <c r="CZ83" s="257">
        <f t="shared" si="69"/>
        <v>0</v>
      </c>
      <c r="DA83" s="257">
        <f t="shared" si="70"/>
        <v>0</v>
      </c>
      <c r="DB83" s="257">
        <f t="shared" si="71"/>
        <v>0</v>
      </c>
      <c r="DC83" s="257" t="str">
        <f t="shared" si="72"/>
        <v/>
      </c>
    </row>
    <row r="84" spans="1:107" ht="20.25">
      <c r="A84" s="36">
        <v>26</v>
      </c>
      <c r="B84" s="62"/>
      <c r="C84" s="63"/>
      <c r="D84" s="64"/>
      <c r="E84" s="217"/>
      <c r="F84" s="217"/>
      <c r="G84" s="218"/>
      <c r="H84" s="65"/>
      <c r="I84" s="65"/>
      <c r="J84" s="65"/>
      <c r="K84" s="66"/>
      <c r="L84" s="75"/>
      <c r="M84" s="75"/>
      <c r="N84" s="75"/>
      <c r="AB84" t="str">
        <f t="shared" si="14"/>
        <v/>
      </c>
      <c r="AC84">
        <f t="shared" si="15"/>
        <v>1</v>
      </c>
      <c r="AD84" t="str">
        <f>IF(AND(AP84=""),"",IF(AP84=0,"",1+(MAX(AD$59:AD83))))</f>
        <v/>
      </c>
      <c r="AE84" s="135">
        <v>26</v>
      </c>
      <c r="AF84" s="253">
        <f t="shared" si="16"/>
        <v>0</v>
      </c>
      <c r="AG84" s="257">
        <f t="shared" si="17"/>
        <v>0</v>
      </c>
      <c r="AH84" s="257">
        <f t="shared" si="18"/>
        <v>0</v>
      </c>
      <c r="AI84" s="257">
        <f t="shared" si="19"/>
        <v>0</v>
      </c>
      <c r="AJ84" s="257">
        <f t="shared" si="20"/>
        <v>0</v>
      </c>
      <c r="AK84" s="257">
        <f t="shared" si="21"/>
        <v>0</v>
      </c>
      <c r="AL84" s="257">
        <f t="shared" si="22"/>
        <v>0</v>
      </c>
      <c r="AM84" s="257">
        <f t="shared" si="23"/>
        <v>0</v>
      </c>
      <c r="AN84" s="257">
        <f t="shared" si="24"/>
        <v>0</v>
      </c>
      <c r="AO84" s="257">
        <f t="shared" si="25"/>
        <v>0</v>
      </c>
      <c r="AP84" s="257" t="str">
        <f t="shared" si="26"/>
        <v/>
      </c>
      <c r="AQ84" t="str">
        <f>IF(AND(BC84=""),"",IF(BC84=0,"",1+(MAX(AQ$59:AQ83))))</f>
        <v/>
      </c>
      <c r="AR84" s="256">
        <v>26</v>
      </c>
      <c r="AS84" s="253">
        <f t="shared" si="73"/>
        <v>0</v>
      </c>
      <c r="AT84" s="254">
        <f t="shared" si="74"/>
        <v>0</v>
      </c>
      <c r="AU84" s="254">
        <f t="shared" si="75"/>
        <v>0</v>
      </c>
      <c r="AV84" s="254">
        <f t="shared" si="76"/>
        <v>0</v>
      </c>
      <c r="AW84" s="254">
        <f t="shared" si="77"/>
        <v>0</v>
      </c>
      <c r="AX84" s="254">
        <f t="shared" si="78"/>
        <v>0</v>
      </c>
      <c r="AY84" s="254">
        <f t="shared" si="79"/>
        <v>0</v>
      </c>
      <c r="AZ84" s="254">
        <f t="shared" si="80"/>
        <v>0</v>
      </c>
      <c r="BA84" s="254">
        <f t="shared" si="81"/>
        <v>0</v>
      </c>
      <c r="BB84" s="254">
        <f t="shared" si="28"/>
        <v>0</v>
      </c>
      <c r="BC84" s="257" t="str">
        <f t="shared" si="29"/>
        <v/>
      </c>
      <c r="BD84" t="str">
        <f>IF(AND(BP84=""),"",IF(BP84=0,"",1+(MAX(BD$59:BD83))))</f>
        <v/>
      </c>
      <c r="BE84" s="135">
        <v>26</v>
      </c>
      <c r="BF84" s="253">
        <f t="shared" si="30"/>
        <v>0</v>
      </c>
      <c r="BG84" s="257">
        <f t="shared" si="31"/>
        <v>0</v>
      </c>
      <c r="BH84" s="257">
        <f t="shared" si="32"/>
        <v>0</v>
      </c>
      <c r="BI84" s="257">
        <f t="shared" si="33"/>
        <v>0</v>
      </c>
      <c r="BJ84" s="257">
        <f t="shared" si="34"/>
        <v>0</v>
      </c>
      <c r="BK84" s="257">
        <f t="shared" si="35"/>
        <v>0</v>
      </c>
      <c r="BL84" s="257">
        <f t="shared" si="36"/>
        <v>0</v>
      </c>
      <c r="BM84" s="257">
        <f t="shared" si="37"/>
        <v>0</v>
      </c>
      <c r="BN84" s="257">
        <f t="shared" si="38"/>
        <v>0</v>
      </c>
      <c r="BO84" s="257">
        <f t="shared" si="39"/>
        <v>0</v>
      </c>
      <c r="BP84" s="257" t="str">
        <f t="shared" si="40"/>
        <v/>
      </c>
      <c r="BQ84" t="str">
        <f>IF(AND(CC84=""),"",IF(CC84=0,"",1+(MAX(BQ$59:BQ83))))</f>
        <v/>
      </c>
      <c r="BR84" s="256">
        <v>26</v>
      </c>
      <c r="BS84" s="253">
        <f t="shared" si="41"/>
        <v>0</v>
      </c>
      <c r="BT84" s="257">
        <f t="shared" si="42"/>
        <v>0</v>
      </c>
      <c r="BU84" s="257">
        <f t="shared" si="43"/>
        <v>0</v>
      </c>
      <c r="BV84" s="257">
        <f t="shared" si="44"/>
        <v>0</v>
      </c>
      <c r="BW84" s="257">
        <f t="shared" si="45"/>
        <v>0</v>
      </c>
      <c r="BX84" s="257">
        <f t="shared" si="46"/>
        <v>0</v>
      </c>
      <c r="BY84" s="257">
        <f t="shared" si="47"/>
        <v>0</v>
      </c>
      <c r="BZ84" s="257">
        <f t="shared" si="48"/>
        <v>0</v>
      </c>
      <c r="CA84" s="257">
        <f t="shared" si="49"/>
        <v>0</v>
      </c>
      <c r="CB84" s="257">
        <f t="shared" si="50"/>
        <v>0</v>
      </c>
      <c r="CC84" s="257" t="str">
        <f t="shared" si="82"/>
        <v/>
      </c>
      <c r="CD84" t="str">
        <f>IF(AND(CP84=""),"",IF(CP84=0,"",1+(MAX(CD$59:CD83))))</f>
        <v/>
      </c>
      <c r="CE84" s="135">
        <v>26</v>
      </c>
      <c r="CF84" s="253">
        <f t="shared" si="51"/>
        <v>0</v>
      </c>
      <c r="CG84" s="257">
        <f t="shared" si="52"/>
        <v>0</v>
      </c>
      <c r="CH84" s="257">
        <f t="shared" si="53"/>
        <v>0</v>
      </c>
      <c r="CI84" s="257">
        <f t="shared" si="54"/>
        <v>0</v>
      </c>
      <c r="CJ84" s="257">
        <f t="shared" si="55"/>
        <v>0</v>
      </c>
      <c r="CK84" s="257">
        <f t="shared" si="56"/>
        <v>0</v>
      </c>
      <c r="CL84" s="257">
        <f t="shared" si="57"/>
        <v>0</v>
      </c>
      <c r="CM84" s="257">
        <f t="shared" si="58"/>
        <v>0</v>
      </c>
      <c r="CN84" s="257">
        <f t="shared" si="59"/>
        <v>0</v>
      </c>
      <c r="CO84" s="257">
        <f t="shared" si="60"/>
        <v>0</v>
      </c>
      <c r="CP84" s="257" t="str">
        <f t="shared" si="61"/>
        <v/>
      </c>
      <c r="CQ84" t="str">
        <f>IF(AND(DC84=""),"",IF(DC84=0,"",1+(MAX(CQ$59:CQ83))))</f>
        <v/>
      </c>
      <c r="CR84" s="256">
        <v>26</v>
      </c>
      <c r="CS84" s="253">
        <f t="shared" si="62"/>
        <v>0</v>
      </c>
      <c r="CT84" s="257">
        <f t="shared" si="63"/>
        <v>0</v>
      </c>
      <c r="CU84" s="257">
        <f t="shared" si="64"/>
        <v>0</v>
      </c>
      <c r="CV84" s="257">
        <f t="shared" si="65"/>
        <v>0</v>
      </c>
      <c r="CW84" s="257">
        <f t="shared" si="66"/>
        <v>0</v>
      </c>
      <c r="CX84" s="257">
        <f t="shared" si="67"/>
        <v>0</v>
      </c>
      <c r="CY84" s="257">
        <f t="shared" si="68"/>
        <v>0</v>
      </c>
      <c r="CZ84" s="257">
        <f t="shared" si="69"/>
        <v>0</v>
      </c>
      <c r="DA84" s="257">
        <f t="shared" si="70"/>
        <v>0</v>
      </c>
      <c r="DB84" s="257">
        <f t="shared" si="71"/>
        <v>0</v>
      </c>
      <c r="DC84" s="257" t="str">
        <f t="shared" si="72"/>
        <v/>
      </c>
    </row>
    <row r="85" spans="1:107" ht="20.25">
      <c r="A85" s="36">
        <v>27</v>
      </c>
      <c r="B85" s="62"/>
      <c r="C85" s="63"/>
      <c r="D85" s="64"/>
      <c r="E85" s="217"/>
      <c r="F85" s="217"/>
      <c r="G85" s="218"/>
      <c r="H85" s="65"/>
      <c r="I85" s="65"/>
      <c r="J85" s="65"/>
      <c r="K85" s="66"/>
      <c r="L85" s="75"/>
      <c r="M85" s="75"/>
      <c r="N85" s="75"/>
      <c r="AB85" t="str">
        <f t="shared" si="14"/>
        <v/>
      </c>
      <c r="AC85">
        <f t="shared" si="15"/>
        <v>1</v>
      </c>
      <c r="AD85" t="str">
        <f>IF(AND(AP85=""),"",IF(AP85=0,"",1+(MAX(AD$59:AD84))))</f>
        <v/>
      </c>
      <c r="AE85" s="135">
        <v>27</v>
      </c>
      <c r="AF85" s="253">
        <f t="shared" si="16"/>
        <v>0</v>
      </c>
      <c r="AG85" s="257">
        <f t="shared" si="17"/>
        <v>0</v>
      </c>
      <c r="AH85" s="257">
        <f t="shared" si="18"/>
        <v>0</v>
      </c>
      <c r="AI85" s="257">
        <f t="shared" si="19"/>
        <v>0</v>
      </c>
      <c r="AJ85" s="257">
        <f t="shared" si="20"/>
        <v>0</v>
      </c>
      <c r="AK85" s="257">
        <f t="shared" si="21"/>
        <v>0</v>
      </c>
      <c r="AL85" s="257">
        <f t="shared" si="22"/>
        <v>0</v>
      </c>
      <c r="AM85" s="257">
        <f t="shared" si="23"/>
        <v>0</v>
      </c>
      <c r="AN85" s="257">
        <f t="shared" si="24"/>
        <v>0</v>
      </c>
      <c r="AO85" s="257">
        <f t="shared" si="25"/>
        <v>0</v>
      </c>
      <c r="AP85" s="257" t="str">
        <f t="shared" si="26"/>
        <v/>
      </c>
      <c r="AQ85" t="str">
        <f>IF(AND(BC85=""),"",IF(BC85=0,"",1+(MAX(AQ$59:AQ84))))</f>
        <v/>
      </c>
      <c r="AR85" s="256">
        <v>27</v>
      </c>
      <c r="AS85" s="253">
        <f t="shared" si="73"/>
        <v>0</v>
      </c>
      <c r="AT85" s="254">
        <f t="shared" si="74"/>
        <v>0</v>
      </c>
      <c r="AU85" s="254">
        <f t="shared" si="75"/>
        <v>0</v>
      </c>
      <c r="AV85" s="254">
        <f t="shared" si="76"/>
        <v>0</v>
      </c>
      <c r="AW85" s="254">
        <f t="shared" si="77"/>
        <v>0</v>
      </c>
      <c r="AX85" s="254">
        <f t="shared" si="78"/>
        <v>0</v>
      </c>
      <c r="AY85" s="254">
        <f t="shared" si="79"/>
        <v>0</v>
      </c>
      <c r="AZ85" s="254">
        <f t="shared" si="80"/>
        <v>0</v>
      </c>
      <c r="BA85" s="254">
        <f t="shared" si="81"/>
        <v>0</v>
      </c>
      <c r="BB85" s="254">
        <f t="shared" si="28"/>
        <v>0</v>
      </c>
      <c r="BC85" s="257" t="str">
        <f t="shared" si="29"/>
        <v/>
      </c>
      <c r="BD85" t="str">
        <f>IF(AND(BP85=""),"",IF(BP85=0,"",1+(MAX(BD$59:BD84))))</f>
        <v/>
      </c>
      <c r="BE85" s="135">
        <v>27</v>
      </c>
      <c r="BF85" s="253">
        <f t="shared" si="30"/>
        <v>0</v>
      </c>
      <c r="BG85" s="257">
        <f t="shared" si="31"/>
        <v>0</v>
      </c>
      <c r="BH85" s="257">
        <f t="shared" si="32"/>
        <v>0</v>
      </c>
      <c r="BI85" s="257">
        <f t="shared" si="33"/>
        <v>0</v>
      </c>
      <c r="BJ85" s="257">
        <f t="shared" si="34"/>
        <v>0</v>
      </c>
      <c r="BK85" s="257">
        <f t="shared" si="35"/>
        <v>0</v>
      </c>
      <c r="BL85" s="257">
        <f t="shared" si="36"/>
        <v>0</v>
      </c>
      <c r="BM85" s="257">
        <f t="shared" si="37"/>
        <v>0</v>
      </c>
      <c r="BN85" s="257">
        <f t="shared" si="38"/>
        <v>0</v>
      </c>
      <c r="BO85" s="257">
        <f t="shared" si="39"/>
        <v>0</v>
      </c>
      <c r="BP85" s="257" t="str">
        <f t="shared" si="40"/>
        <v/>
      </c>
      <c r="BQ85" t="str">
        <f>IF(AND(CC85=""),"",IF(CC85=0,"",1+(MAX(BQ$59:BQ84))))</f>
        <v/>
      </c>
      <c r="BR85" s="256">
        <v>27</v>
      </c>
      <c r="BS85" s="253">
        <f t="shared" si="41"/>
        <v>0</v>
      </c>
      <c r="BT85" s="257">
        <f t="shared" si="42"/>
        <v>0</v>
      </c>
      <c r="BU85" s="257">
        <f t="shared" si="43"/>
        <v>0</v>
      </c>
      <c r="BV85" s="257">
        <f t="shared" si="44"/>
        <v>0</v>
      </c>
      <c r="BW85" s="257">
        <f t="shared" si="45"/>
        <v>0</v>
      </c>
      <c r="BX85" s="257">
        <f t="shared" si="46"/>
        <v>0</v>
      </c>
      <c r="BY85" s="257">
        <f t="shared" si="47"/>
        <v>0</v>
      </c>
      <c r="BZ85" s="257">
        <f t="shared" si="48"/>
        <v>0</v>
      </c>
      <c r="CA85" s="257">
        <f t="shared" si="49"/>
        <v>0</v>
      </c>
      <c r="CB85" s="257">
        <f t="shared" si="50"/>
        <v>0</v>
      </c>
      <c r="CC85" s="257" t="str">
        <f t="shared" si="82"/>
        <v/>
      </c>
      <c r="CD85" t="str">
        <f>IF(AND(CP85=""),"",IF(CP85=0,"",1+(MAX(CD$59:CD84))))</f>
        <v/>
      </c>
      <c r="CE85" s="135">
        <v>27</v>
      </c>
      <c r="CF85" s="253">
        <f t="shared" si="51"/>
        <v>0</v>
      </c>
      <c r="CG85" s="257">
        <f t="shared" si="52"/>
        <v>0</v>
      </c>
      <c r="CH85" s="257">
        <f t="shared" si="53"/>
        <v>0</v>
      </c>
      <c r="CI85" s="257">
        <f t="shared" si="54"/>
        <v>0</v>
      </c>
      <c r="CJ85" s="257">
        <f t="shared" si="55"/>
        <v>0</v>
      </c>
      <c r="CK85" s="257">
        <f t="shared" si="56"/>
        <v>0</v>
      </c>
      <c r="CL85" s="257">
        <f t="shared" si="57"/>
        <v>0</v>
      </c>
      <c r="CM85" s="257">
        <f t="shared" si="58"/>
        <v>0</v>
      </c>
      <c r="CN85" s="257">
        <f t="shared" si="59"/>
        <v>0</v>
      </c>
      <c r="CO85" s="257">
        <f t="shared" si="60"/>
        <v>0</v>
      </c>
      <c r="CP85" s="257" t="str">
        <f t="shared" si="61"/>
        <v/>
      </c>
      <c r="CQ85" t="str">
        <f>IF(AND(DC85=""),"",IF(DC85=0,"",1+(MAX(CQ$59:CQ84))))</f>
        <v/>
      </c>
      <c r="CR85" s="135">
        <v>27</v>
      </c>
      <c r="CS85" s="253">
        <f t="shared" si="62"/>
        <v>0</v>
      </c>
      <c r="CT85" s="257">
        <f t="shared" si="63"/>
        <v>0</v>
      </c>
      <c r="CU85" s="257">
        <f t="shared" si="64"/>
        <v>0</v>
      </c>
      <c r="CV85" s="257">
        <f t="shared" si="65"/>
        <v>0</v>
      </c>
      <c r="CW85" s="257">
        <f t="shared" si="66"/>
        <v>0</v>
      </c>
      <c r="CX85" s="257">
        <f t="shared" si="67"/>
        <v>0</v>
      </c>
      <c r="CY85" s="257">
        <f t="shared" si="68"/>
        <v>0</v>
      </c>
      <c r="CZ85" s="257">
        <f t="shared" si="69"/>
        <v>0</v>
      </c>
      <c r="DA85" s="257">
        <f t="shared" si="70"/>
        <v>0</v>
      </c>
      <c r="DB85" s="257">
        <f t="shared" si="71"/>
        <v>0</v>
      </c>
      <c r="DC85" s="257" t="str">
        <f t="shared" si="72"/>
        <v/>
      </c>
    </row>
    <row r="86" spans="1:107" ht="20.25">
      <c r="A86" s="36">
        <v>28</v>
      </c>
      <c r="B86" s="62"/>
      <c r="C86" s="63"/>
      <c r="D86" s="64"/>
      <c r="E86" s="217"/>
      <c r="F86" s="217"/>
      <c r="G86" s="218"/>
      <c r="H86" s="65"/>
      <c r="I86" s="65"/>
      <c r="J86" s="65"/>
      <c r="K86" s="66"/>
      <c r="L86" s="75"/>
      <c r="M86" s="75"/>
      <c r="N86" s="75"/>
      <c r="AB86" t="str">
        <f t="shared" si="14"/>
        <v/>
      </c>
      <c r="AC86">
        <f t="shared" si="15"/>
        <v>1</v>
      </c>
      <c r="AD86" t="str">
        <f>IF(AND(AP86=""),"",IF(AP86=0,"",1+(MAX(AD$59:AD85))))</f>
        <v/>
      </c>
      <c r="AE86" s="135">
        <v>28</v>
      </c>
      <c r="AF86" s="253">
        <f t="shared" si="16"/>
        <v>0</v>
      </c>
      <c r="AG86" s="257">
        <f t="shared" si="17"/>
        <v>0</v>
      </c>
      <c r="AH86" s="257">
        <f t="shared" si="18"/>
        <v>0</v>
      </c>
      <c r="AI86" s="257">
        <f t="shared" si="19"/>
        <v>0</v>
      </c>
      <c r="AJ86" s="257">
        <f t="shared" si="20"/>
        <v>0</v>
      </c>
      <c r="AK86" s="257">
        <f t="shared" si="21"/>
        <v>0</v>
      </c>
      <c r="AL86" s="257">
        <f t="shared" si="22"/>
        <v>0</v>
      </c>
      <c r="AM86" s="257">
        <f t="shared" si="23"/>
        <v>0</v>
      </c>
      <c r="AN86" s="257">
        <f t="shared" si="24"/>
        <v>0</v>
      </c>
      <c r="AO86" s="257">
        <f t="shared" si="25"/>
        <v>0</v>
      </c>
      <c r="AP86" s="257" t="str">
        <f t="shared" si="26"/>
        <v/>
      </c>
      <c r="AQ86" t="str">
        <f>IF(AND(BC86=""),"",IF(BC86=0,"",1+(MAX(AQ$59:AQ85))))</f>
        <v/>
      </c>
      <c r="AR86" s="256">
        <v>28</v>
      </c>
      <c r="AS86" s="253">
        <f t="shared" si="73"/>
        <v>0</v>
      </c>
      <c r="AT86" s="254">
        <f t="shared" si="74"/>
        <v>0</v>
      </c>
      <c r="AU86" s="254">
        <f t="shared" si="75"/>
        <v>0</v>
      </c>
      <c r="AV86" s="254">
        <f t="shared" si="76"/>
        <v>0</v>
      </c>
      <c r="AW86" s="254">
        <f t="shared" si="77"/>
        <v>0</v>
      </c>
      <c r="AX86" s="254">
        <f t="shared" si="78"/>
        <v>0</v>
      </c>
      <c r="AY86" s="254">
        <f t="shared" si="79"/>
        <v>0</v>
      </c>
      <c r="AZ86" s="254">
        <f t="shared" si="80"/>
        <v>0</v>
      </c>
      <c r="BA86" s="254">
        <f t="shared" si="81"/>
        <v>0</v>
      </c>
      <c r="BB86" s="254">
        <f t="shared" si="28"/>
        <v>0</v>
      </c>
      <c r="BC86" s="257" t="str">
        <f t="shared" si="29"/>
        <v/>
      </c>
      <c r="BD86" t="str">
        <f>IF(AND(BP86=""),"",IF(BP86=0,"",1+(MAX(BD$59:BD85))))</f>
        <v/>
      </c>
      <c r="BE86" s="135">
        <v>28</v>
      </c>
      <c r="BF86" s="253">
        <f t="shared" si="30"/>
        <v>0</v>
      </c>
      <c r="BG86" s="257">
        <f t="shared" si="31"/>
        <v>0</v>
      </c>
      <c r="BH86" s="257">
        <f t="shared" si="32"/>
        <v>0</v>
      </c>
      <c r="BI86" s="257">
        <f t="shared" si="33"/>
        <v>0</v>
      </c>
      <c r="BJ86" s="257">
        <f t="shared" si="34"/>
        <v>0</v>
      </c>
      <c r="BK86" s="257">
        <f t="shared" si="35"/>
        <v>0</v>
      </c>
      <c r="BL86" s="257">
        <f t="shared" si="36"/>
        <v>0</v>
      </c>
      <c r="BM86" s="257">
        <f t="shared" si="37"/>
        <v>0</v>
      </c>
      <c r="BN86" s="257">
        <f t="shared" si="38"/>
        <v>0</v>
      </c>
      <c r="BO86" s="257">
        <f t="shared" si="39"/>
        <v>0</v>
      </c>
      <c r="BP86" s="257" t="str">
        <f t="shared" si="40"/>
        <v/>
      </c>
      <c r="BQ86" t="str">
        <f>IF(AND(CC86=""),"",IF(CC86=0,"",1+(MAX(BQ$59:BQ85))))</f>
        <v/>
      </c>
      <c r="BR86" s="256">
        <v>28</v>
      </c>
      <c r="BS86" s="253">
        <f t="shared" si="41"/>
        <v>0</v>
      </c>
      <c r="BT86" s="257">
        <f t="shared" si="42"/>
        <v>0</v>
      </c>
      <c r="BU86" s="257">
        <f t="shared" si="43"/>
        <v>0</v>
      </c>
      <c r="BV86" s="257">
        <f t="shared" si="44"/>
        <v>0</v>
      </c>
      <c r="BW86" s="257">
        <f t="shared" si="45"/>
        <v>0</v>
      </c>
      <c r="BX86" s="257">
        <f t="shared" si="46"/>
        <v>0</v>
      </c>
      <c r="BY86" s="257">
        <f t="shared" si="47"/>
        <v>0</v>
      </c>
      <c r="BZ86" s="257">
        <f t="shared" si="48"/>
        <v>0</v>
      </c>
      <c r="CA86" s="257">
        <f t="shared" si="49"/>
        <v>0</v>
      </c>
      <c r="CB86" s="257">
        <f t="shared" si="50"/>
        <v>0</v>
      </c>
      <c r="CC86" s="257" t="str">
        <f t="shared" ref="CC86:CC108" si="83">IF(AND(K86=""),"",IF(K86=BS$57,1,0))</f>
        <v/>
      </c>
      <c r="CD86" t="str">
        <f>IF(AND(CP86=""),"",IF(CP86=0,"",1+(MAX(CD$59:CD85))))</f>
        <v/>
      </c>
      <c r="CE86" s="135">
        <v>28</v>
      </c>
      <c r="CF86" s="253">
        <f t="shared" si="51"/>
        <v>0</v>
      </c>
      <c r="CG86" s="257">
        <f t="shared" si="52"/>
        <v>0</v>
      </c>
      <c r="CH86" s="257">
        <f t="shared" si="53"/>
        <v>0</v>
      </c>
      <c r="CI86" s="257">
        <f t="shared" si="54"/>
        <v>0</v>
      </c>
      <c r="CJ86" s="257">
        <f t="shared" si="55"/>
        <v>0</v>
      </c>
      <c r="CK86" s="257">
        <f t="shared" si="56"/>
        <v>0</v>
      </c>
      <c r="CL86" s="257">
        <f t="shared" si="57"/>
        <v>0</v>
      </c>
      <c r="CM86" s="257">
        <f t="shared" si="58"/>
        <v>0</v>
      </c>
      <c r="CN86" s="257">
        <f t="shared" si="59"/>
        <v>0</v>
      </c>
      <c r="CO86" s="257">
        <f t="shared" si="60"/>
        <v>0</v>
      </c>
      <c r="CP86" s="257" t="str">
        <f t="shared" si="61"/>
        <v/>
      </c>
      <c r="CQ86" t="str">
        <f>IF(AND(DC86=""),"",IF(DC86=0,"",1+(MAX(CQ$59:CQ85))))</f>
        <v/>
      </c>
      <c r="CR86" s="256">
        <v>28</v>
      </c>
      <c r="CS86" s="253">
        <f t="shared" si="62"/>
        <v>0</v>
      </c>
      <c r="CT86" s="257">
        <f t="shared" si="63"/>
        <v>0</v>
      </c>
      <c r="CU86" s="257">
        <f t="shared" si="64"/>
        <v>0</v>
      </c>
      <c r="CV86" s="257">
        <f t="shared" si="65"/>
        <v>0</v>
      </c>
      <c r="CW86" s="257">
        <f t="shared" si="66"/>
        <v>0</v>
      </c>
      <c r="CX86" s="257">
        <f t="shared" si="67"/>
        <v>0</v>
      </c>
      <c r="CY86" s="257">
        <f t="shared" si="68"/>
        <v>0</v>
      </c>
      <c r="CZ86" s="257">
        <f t="shared" si="69"/>
        <v>0</v>
      </c>
      <c r="DA86" s="257">
        <f t="shared" si="70"/>
        <v>0</v>
      </c>
      <c r="DB86" s="257">
        <f t="shared" si="71"/>
        <v>0</v>
      </c>
      <c r="DC86" s="257" t="str">
        <f t="shared" si="72"/>
        <v/>
      </c>
    </row>
    <row r="87" spans="1:107" ht="20.25">
      <c r="A87" s="36">
        <v>29</v>
      </c>
      <c r="B87" s="62"/>
      <c r="C87" s="63"/>
      <c r="D87" s="64"/>
      <c r="E87" s="217"/>
      <c r="F87" s="217"/>
      <c r="G87" s="218"/>
      <c r="H87" s="65"/>
      <c r="I87" s="65"/>
      <c r="J87" s="65"/>
      <c r="K87" s="66"/>
      <c r="L87" s="75"/>
      <c r="M87" s="75"/>
      <c r="N87" s="75"/>
      <c r="AB87" t="str">
        <f t="shared" si="14"/>
        <v/>
      </c>
      <c r="AC87">
        <f t="shared" si="15"/>
        <v>1</v>
      </c>
      <c r="AD87" t="str">
        <f>IF(AND(AP87=""),"",IF(AP87=0,"",1+(MAX(AD$59:AD86))))</f>
        <v/>
      </c>
      <c r="AE87" s="135">
        <v>29</v>
      </c>
      <c r="AF87" s="253">
        <f t="shared" si="16"/>
        <v>0</v>
      </c>
      <c r="AG87" s="257">
        <f t="shared" si="17"/>
        <v>0</v>
      </c>
      <c r="AH87" s="257">
        <f t="shared" si="18"/>
        <v>0</v>
      </c>
      <c r="AI87" s="257">
        <f t="shared" si="19"/>
        <v>0</v>
      </c>
      <c r="AJ87" s="257">
        <f t="shared" si="20"/>
        <v>0</v>
      </c>
      <c r="AK87" s="257">
        <f t="shared" si="21"/>
        <v>0</v>
      </c>
      <c r="AL87" s="257">
        <f t="shared" si="22"/>
        <v>0</v>
      </c>
      <c r="AM87" s="257">
        <f t="shared" si="23"/>
        <v>0</v>
      </c>
      <c r="AN87" s="257">
        <f t="shared" si="24"/>
        <v>0</v>
      </c>
      <c r="AO87" s="257">
        <f t="shared" si="25"/>
        <v>0</v>
      </c>
      <c r="AP87" s="257" t="str">
        <f t="shared" si="26"/>
        <v/>
      </c>
      <c r="AQ87" t="str">
        <f>IF(AND(BC87=""),"",IF(BC87=0,"",1+(MAX(AQ$59:AQ86))))</f>
        <v/>
      </c>
      <c r="AR87" s="256">
        <v>29</v>
      </c>
      <c r="AS87" s="253">
        <f t="shared" si="73"/>
        <v>0</v>
      </c>
      <c r="AT87" s="254">
        <f t="shared" si="74"/>
        <v>0</v>
      </c>
      <c r="AU87" s="254">
        <f t="shared" si="75"/>
        <v>0</v>
      </c>
      <c r="AV87" s="254">
        <f t="shared" si="76"/>
        <v>0</v>
      </c>
      <c r="AW87" s="254">
        <f t="shared" si="77"/>
        <v>0</v>
      </c>
      <c r="AX87" s="254">
        <f t="shared" si="78"/>
        <v>0</v>
      </c>
      <c r="AY87" s="254">
        <f t="shared" si="79"/>
        <v>0</v>
      </c>
      <c r="AZ87" s="254">
        <f t="shared" si="80"/>
        <v>0</v>
      </c>
      <c r="BA87" s="254">
        <f t="shared" si="81"/>
        <v>0</v>
      </c>
      <c r="BB87" s="254">
        <f t="shared" si="28"/>
        <v>0</v>
      </c>
      <c r="BC87" s="257" t="str">
        <f t="shared" si="29"/>
        <v/>
      </c>
      <c r="BD87" t="str">
        <f>IF(AND(BP87=""),"",IF(BP87=0,"",1+(MAX(BD$59:BD86))))</f>
        <v/>
      </c>
      <c r="BE87" s="135">
        <v>29</v>
      </c>
      <c r="BF87" s="253">
        <f t="shared" si="30"/>
        <v>0</v>
      </c>
      <c r="BG87" s="257">
        <f t="shared" si="31"/>
        <v>0</v>
      </c>
      <c r="BH87" s="257">
        <f t="shared" si="32"/>
        <v>0</v>
      </c>
      <c r="BI87" s="257">
        <f t="shared" si="33"/>
        <v>0</v>
      </c>
      <c r="BJ87" s="257">
        <f t="shared" si="34"/>
        <v>0</v>
      </c>
      <c r="BK87" s="257">
        <f t="shared" si="35"/>
        <v>0</v>
      </c>
      <c r="BL87" s="257">
        <f t="shared" si="36"/>
        <v>0</v>
      </c>
      <c r="BM87" s="257">
        <f t="shared" si="37"/>
        <v>0</v>
      </c>
      <c r="BN87" s="257">
        <f t="shared" si="38"/>
        <v>0</v>
      </c>
      <c r="BO87" s="257">
        <f t="shared" si="39"/>
        <v>0</v>
      </c>
      <c r="BP87" s="257" t="str">
        <f t="shared" si="40"/>
        <v/>
      </c>
      <c r="BQ87" t="str">
        <f>IF(AND(CC87=""),"",IF(CC87=0,"",1+(MAX(BQ$59:BQ86))))</f>
        <v/>
      </c>
      <c r="BR87" s="256">
        <v>29</v>
      </c>
      <c r="BS87" s="253">
        <f t="shared" si="41"/>
        <v>0</v>
      </c>
      <c r="BT87" s="257">
        <f t="shared" si="42"/>
        <v>0</v>
      </c>
      <c r="BU87" s="257">
        <f t="shared" si="43"/>
        <v>0</v>
      </c>
      <c r="BV87" s="257">
        <f t="shared" si="44"/>
        <v>0</v>
      </c>
      <c r="BW87" s="257">
        <f t="shared" si="45"/>
        <v>0</v>
      </c>
      <c r="BX87" s="257">
        <f t="shared" si="46"/>
        <v>0</v>
      </c>
      <c r="BY87" s="257">
        <f t="shared" si="47"/>
        <v>0</v>
      </c>
      <c r="BZ87" s="257">
        <f t="shared" si="48"/>
        <v>0</v>
      </c>
      <c r="CA87" s="257">
        <f t="shared" si="49"/>
        <v>0</v>
      </c>
      <c r="CB87" s="257">
        <f t="shared" si="50"/>
        <v>0</v>
      </c>
      <c r="CC87" s="257" t="str">
        <f t="shared" si="83"/>
        <v/>
      </c>
      <c r="CD87" t="str">
        <f>IF(AND(CP87=""),"",IF(CP87=0,"",1+(MAX(CD$59:CD86))))</f>
        <v/>
      </c>
      <c r="CE87" s="135">
        <v>29</v>
      </c>
      <c r="CF87" s="253">
        <f t="shared" si="51"/>
        <v>0</v>
      </c>
      <c r="CG87" s="257">
        <f t="shared" si="52"/>
        <v>0</v>
      </c>
      <c r="CH87" s="257">
        <f t="shared" si="53"/>
        <v>0</v>
      </c>
      <c r="CI87" s="257">
        <f t="shared" si="54"/>
        <v>0</v>
      </c>
      <c r="CJ87" s="257">
        <f t="shared" si="55"/>
        <v>0</v>
      </c>
      <c r="CK87" s="257">
        <f t="shared" si="56"/>
        <v>0</v>
      </c>
      <c r="CL87" s="257">
        <f t="shared" si="57"/>
        <v>0</v>
      </c>
      <c r="CM87" s="257">
        <f t="shared" si="58"/>
        <v>0</v>
      </c>
      <c r="CN87" s="257">
        <f t="shared" si="59"/>
        <v>0</v>
      </c>
      <c r="CO87" s="257">
        <f t="shared" si="60"/>
        <v>0</v>
      </c>
      <c r="CP87" s="257" t="str">
        <f t="shared" si="61"/>
        <v/>
      </c>
      <c r="CQ87" t="str">
        <f>IF(AND(DC87=""),"",IF(DC87=0,"",1+(MAX(CQ$59:CQ86))))</f>
        <v/>
      </c>
      <c r="CR87" s="135">
        <v>29</v>
      </c>
      <c r="CS87" s="253">
        <f t="shared" si="62"/>
        <v>0</v>
      </c>
      <c r="CT87" s="257">
        <f t="shared" si="63"/>
        <v>0</v>
      </c>
      <c r="CU87" s="257">
        <f t="shared" si="64"/>
        <v>0</v>
      </c>
      <c r="CV87" s="257">
        <f t="shared" si="65"/>
        <v>0</v>
      </c>
      <c r="CW87" s="257">
        <f t="shared" si="66"/>
        <v>0</v>
      </c>
      <c r="CX87" s="257">
        <f t="shared" si="67"/>
        <v>0</v>
      </c>
      <c r="CY87" s="257">
        <f t="shared" si="68"/>
        <v>0</v>
      </c>
      <c r="CZ87" s="257">
        <f t="shared" si="69"/>
        <v>0</v>
      </c>
      <c r="DA87" s="257">
        <f t="shared" si="70"/>
        <v>0</v>
      </c>
      <c r="DB87" s="257">
        <f t="shared" si="71"/>
        <v>0</v>
      </c>
      <c r="DC87" s="257" t="str">
        <f t="shared" si="72"/>
        <v/>
      </c>
    </row>
    <row r="88" spans="1:107" ht="20.25">
      <c r="A88" s="36">
        <v>30</v>
      </c>
      <c r="B88" s="62"/>
      <c r="C88" s="63"/>
      <c r="D88" s="64"/>
      <c r="E88" s="217"/>
      <c r="F88" s="217"/>
      <c r="G88" s="218"/>
      <c r="H88" s="65"/>
      <c r="I88" s="65"/>
      <c r="J88" s="65"/>
      <c r="K88" s="66"/>
      <c r="L88" s="75"/>
      <c r="M88" s="75"/>
      <c r="N88" s="75"/>
      <c r="AB88" t="str">
        <f t="shared" si="14"/>
        <v/>
      </c>
      <c r="AC88">
        <f t="shared" si="15"/>
        <v>1</v>
      </c>
      <c r="AD88" t="str">
        <f>IF(AND(AP88=""),"",IF(AP88=0,"",1+(MAX(AD$59:AD87))))</f>
        <v/>
      </c>
      <c r="AE88" s="135">
        <v>30</v>
      </c>
      <c r="AF88" s="253">
        <f t="shared" si="16"/>
        <v>0</v>
      </c>
      <c r="AG88" s="257">
        <f t="shared" si="17"/>
        <v>0</v>
      </c>
      <c r="AH88" s="257">
        <f t="shared" si="18"/>
        <v>0</v>
      </c>
      <c r="AI88" s="257">
        <f t="shared" si="19"/>
        <v>0</v>
      </c>
      <c r="AJ88" s="257">
        <f t="shared" si="20"/>
        <v>0</v>
      </c>
      <c r="AK88" s="257">
        <f t="shared" si="21"/>
        <v>0</v>
      </c>
      <c r="AL88" s="257">
        <f t="shared" si="22"/>
        <v>0</v>
      </c>
      <c r="AM88" s="257">
        <f t="shared" si="23"/>
        <v>0</v>
      </c>
      <c r="AN88" s="257">
        <f t="shared" si="24"/>
        <v>0</v>
      </c>
      <c r="AO88" s="257">
        <f t="shared" si="25"/>
        <v>0</v>
      </c>
      <c r="AP88" s="257" t="str">
        <f t="shared" si="26"/>
        <v/>
      </c>
      <c r="AQ88" t="str">
        <f>IF(AND(BC88=""),"",IF(BC88=0,"",1+(MAX(AQ$59:AQ87))))</f>
        <v/>
      </c>
      <c r="AR88" s="256">
        <v>30</v>
      </c>
      <c r="AS88" s="253">
        <f t="shared" si="73"/>
        <v>0</v>
      </c>
      <c r="AT88" s="254">
        <f t="shared" si="74"/>
        <v>0</v>
      </c>
      <c r="AU88" s="254">
        <f t="shared" si="75"/>
        <v>0</v>
      </c>
      <c r="AV88" s="254">
        <f t="shared" si="76"/>
        <v>0</v>
      </c>
      <c r="AW88" s="254">
        <f t="shared" si="77"/>
        <v>0</v>
      </c>
      <c r="AX88" s="254">
        <f t="shared" si="78"/>
        <v>0</v>
      </c>
      <c r="AY88" s="254">
        <f t="shared" si="79"/>
        <v>0</v>
      </c>
      <c r="AZ88" s="254">
        <f t="shared" si="80"/>
        <v>0</v>
      </c>
      <c r="BA88" s="254">
        <f t="shared" si="81"/>
        <v>0</v>
      </c>
      <c r="BB88" s="254">
        <f t="shared" si="28"/>
        <v>0</v>
      </c>
      <c r="BC88" s="257" t="str">
        <f t="shared" si="29"/>
        <v/>
      </c>
      <c r="BD88" t="str">
        <f>IF(AND(BP88=""),"",IF(BP88=0,"",1+(MAX(BD$59:BD87))))</f>
        <v/>
      </c>
      <c r="BE88" s="135">
        <v>30</v>
      </c>
      <c r="BF88" s="253">
        <f t="shared" si="30"/>
        <v>0</v>
      </c>
      <c r="BG88" s="257">
        <f t="shared" si="31"/>
        <v>0</v>
      </c>
      <c r="BH88" s="257">
        <f t="shared" si="32"/>
        <v>0</v>
      </c>
      <c r="BI88" s="257">
        <f t="shared" si="33"/>
        <v>0</v>
      </c>
      <c r="BJ88" s="257">
        <f t="shared" si="34"/>
        <v>0</v>
      </c>
      <c r="BK88" s="257">
        <f t="shared" si="35"/>
        <v>0</v>
      </c>
      <c r="BL88" s="257">
        <f t="shared" si="36"/>
        <v>0</v>
      </c>
      <c r="BM88" s="257">
        <f t="shared" si="37"/>
        <v>0</v>
      </c>
      <c r="BN88" s="257">
        <f t="shared" si="38"/>
        <v>0</v>
      </c>
      <c r="BO88" s="257">
        <f t="shared" si="39"/>
        <v>0</v>
      </c>
      <c r="BP88" s="257" t="str">
        <f t="shared" si="40"/>
        <v/>
      </c>
      <c r="BQ88" t="str">
        <f>IF(AND(CC88=""),"",IF(CC88=0,"",1+(MAX(BQ$59:BQ87))))</f>
        <v/>
      </c>
      <c r="BR88" s="256">
        <v>30</v>
      </c>
      <c r="BS88" s="253">
        <f t="shared" si="41"/>
        <v>0</v>
      </c>
      <c r="BT88" s="257">
        <f t="shared" si="42"/>
        <v>0</v>
      </c>
      <c r="BU88" s="257">
        <f t="shared" si="43"/>
        <v>0</v>
      </c>
      <c r="BV88" s="257">
        <f t="shared" si="44"/>
        <v>0</v>
      </c>
      <c r="BW88" s="257">
        <f t="shared" si="45"/>
        <v>0</v>
      </c>
      <c r="BX88" s="257">
        <f t="shared" si="46"/>
        <v>0</v>
      </c>
      <c r="BY88" s="257">
        <f t="shared" si="47"/>
        <v>0</v>
      </c>
      <c r="BZ88" s="257">
        <f t="shared" si="48"/>
        <v>0</v>
      </c>
      <c r="CA88" s="257">
        <f t="shared" si="49"/>
        <v>0</v>
      </c>
      <c r="CB88" s="257">
        <f t="shared" si="50"/>
        <v>0</v>
      </c>
      <c r="CC88" s="257" t="str">
        <f t="shared" si="83"/>
        <v/>
      </c>
      <c r="CD88" t="str">
        <f>IF(AND(CP88=""),"",IF(CP88=0,"",1+(MAX(CD$59:CD87))))</f>
        <v/>
      </c>
      <c r="CE88" s="135">
        <v>30</v>
      </c>
      <c r="CF88" s="253">
        <f t="shared" si="51"/>
        <v>0</v>
      </c>
      <c r="CG88" s="257">
        <f t="shared" si="52"/>
        <v>0</v>
      </c>
      <c r="CH88" s="257">
        <f t="shared" si="53"/>
        <v>0</v>
      </c>
      <c r="CI88" s="257">
        <f t="shared" si="54"/>
        <v>0</v>
      </c>
      <c r="CJ88" s="257">
        <f t="shared" si="55"/>
        <v>0</v>
      </c>
      <c r="CK88" s="257">
        <f t="shared" si="56"/>
        <v>0</v>
      </c>
      <c r="CL88" s="257">
        <f t="shared" si="57"/>
        <v>0</v>
      </c>
      <c r="CM88" s="257">
        <f t="shared" si="58"/>
        <v>0</v>
      </c>
      <c r="CN88" s="257">
        <f t="shared" si="59"/>
        <v>0</v>
      </c>
      <c r="CO88" s="257">
        <f t="shared" si="60"/>
        <v>0</v>
      </c>
      <c r="CP88" s="257" t="str">
        <f t="shared" si="61"/>
        <v/>
      </c>
      <c r="CQ88" t="str">
        <f>IF(AND(DC88=""),"",IF(DC88=0,"",1+(MAX(CQ$59:CQ87))))</f>
        <v/>
      </c>
      <c r="CR88" s="256">
        <v>30</v>
      </c>
      <c r="CS88" s="253">
        <f t="shared" si="62"/>
        <v>0</v>
      </c>
      <c r="CT88" s="257">
        <f t="shared" si="63"/>
        <v>0</v>
      </c>
      <c r="CU88" s="257">
        <f t="shared" si="64"/>
        <v>0</v>
      </c>
      <c r="CV88" s="257">
        <f t="shared" si="65"/>
        <v>0</v>
      </c>
      <c r="CW88" s="257">
        <f t="shared" si="66"/>
        <v>0</v>
      </c>
      <c r="CX88" s="257">
        <f t="shared" si="67"/>
        <v>0</v>
      </c>
      <c r="CY88" s="257">
        <f t="shared" si="68"/>
        <v>0</v>
      </c>
      <c r="CZ88" s="257">
        <f t="shared" si="69"/>
        <v>0</v>
      </c>
      <c r="DA88" s="257">
        <f t="shared" si="70"/>
        <v>0</v>
      </c>
      <c r="DB88" s="257">
        <f t="shared" si="71"/>
        <v>0</v>
      </c>
      <c r="DC88" s="257" t="str">
        <f t="shared" si="72"/>
        <v/>
      </c>
    </row>
    <row r="89" spans="1:107" ht="20.25">
      <c r="A89" s="36">
        <v>31</v>
      </c>
      <c r="B89" s="62"/>
      <c r="C89" s="63"/>
      <c r="D89" s="64"/>
      <c r="E89" s="217"/>
      <c r="F89" s="217"/>
      <c r="G89" s="218"/>
      <c r="H89" s="65"/>
      <c r="I89" s="65"/>
      <c r="J89" s="65"/>
      <c r="K89" s="66"/>
      <c r="L89" s="75"/>
      <c r="M89" s="75"/>
      <c r="N89" s="75"/>
      <c r="AB89" t="str">
        <f t="shared" si="14"/>
        <v/>
      </c>
      <c r="AC89">
        <f t="shared" si="15"/>
        <v>1</v>
      </c>
      <c r="AD89" t="str">
        <f>IF(AND(AP89=""),"",IF(AP89=0,"",1+(MAX(AD$59:AD88))))</f>
        <v/>
      </c>
      <c r="AE89" s="135">
        <v>31</v>
      </c>
      <c r="AF89" s="253">
        <f t="shared" si="16"/>
        <v>0</v>
      </c>
      <c r="AG89" s="257">
        <f t="shared" si="17"/>
        <v>0</v>
      </c>
      <c r="AH89" s="257">
        <f t="shared" si="18"/>
        <v>0</v>
      </c>
      <c r="AI89" s="257">
        <f t="shared" si="19"/>
        <v>0</v>
      </c>
      <c r="AJ89" s="257">
        <f t="shared" si="20"/>
        <v>0</v>
      </c>
      <c r="AK89" s="257">
        <f t="shared" si="21"/>
        <v>0</v>
      </c>
      <c r="AL89" s="257">
        <f t="shared" si="22"/>
        <v>0</v>
      </c>
      <c r="AM89" s="257">
        <f t="shared" si="23"/>
        <v>0</v>
      </c>
      <c r="AN89" s="257">
        <f t="shared" si="24"/>
        <v>0</v>
      </c>
      <c r="AO89" s="257">
        <f t="shared" si="25"/>
        <v>0</v>
      </c>
      <c r="AP89" s="257" t="str">
        <f t="shared" si="26"/>
        <v/>
      </c>
      <c r="AQ89" t="str">
        <f>IF(AND(BC89=""),"",IF(BC89=0,"",1+(MAX(AQ$59:AQ88))))</f>
        <v/>
      </c>
      <c r="AR89" s="256">
        <v>31</v>
      </c>
      <c r="AS89" s="253">
        <f t="shared" si="73"/>
        <v>0</v>
      </c>
      <c r="AT89" s="254">
        <f t="shared" si="74"/>
        <v>0</v>
      </c>
      <c r="AU89" s="254">
        <f t="shared" si="75"/>
        <v>0</v>
      </c>
      <c r="AV89" s="254">
        <f t="shared" si="76"/>
        <v>0</v>
      </c>
      <c r="AW89" s="254">
        <f t="shared" si="77"/>
        <v>0</v>
      </c>
      <c r="AX89" s="254">
        <f t="shared" si="78"/>
        <v>0</v>
      </c>
      <c r="AY89" s="254">
        <f t="shared" si="79"/>
        <v>0</v>
      </c>
      <c r="AZ89" s="254">
        <f t="shared" si="80"/>
        <v>0</v>
      </c>
      <c r="BA89" s="254">
        <f t="shared" si="81"/>
        <v>0</v>
      </c>
      <c r="BB89" s="254">
        <f t="shared" si="28"/>
        <v>0</v>
      </c>
      <c r="BC89" s="257" t="str">
        <f t="shared" si="29"/>
        <v/>
      </c>
      <c r="BD89" t="str">
        <f>IF(AND(BP89=""),"",IF(BP89=0,"",1+(MAX(BD$59:BD88))))</f>
        <v/>
      </c>
      <c r="BE89" s="135">
        <v>31</v>
      </c>
      <c r="BF89" s="253">
        <f t="shared" si="30"/>
        <v>0</v>
      </c>
      <c r="BG89" s="257">
        <f t="shared" si="31"/>
        <v>0</v>
      </c>
      <c r="BH89" s="257">
        <f t="shared" si="32"/>
        <v>0</v>
      </c>
      <c r="BI89" s="257">
        <f t="shared" si="33"/>
        <v>0</v>
      </c>
      <c r="BJ89" s="257">
        <f t="shared" si="34"/>
        <v>0</v>
      </c>
      <c r="BK89" s="257">
        <f t="shared" si="35"/>
        <v>0</v>
      </c>
      <c r="BL89" s="257">
        <f t="shared" si="36"/>
        <v>0</v>
      </c>
      <c r="BM89" s="257">
        <f t="shared" si="37"/>
        <v>0</v>
      </c>
      <c r="BN89" s="257">
        <f t="shared" si="38"/>
        <v>0</v>
      </c>
      <c r="BO89" s="257">
        <f t="shared" si="39"/>
        <v>0</v>
      </c>
      <c r="BP89" s="257" t="str">
        <f t="shared" si="40"/>
        <v/>
      </c>
      <c r="BQ89" t="str">
        <f>IF(AND(CC89=""),"",IF(CC89=0,"",1+(MAX(BQ$59:BQ88))))</f>
        <v/>
      </c>
      <c r="BR89" s="256">
        <v>31</v>
      </c>
      <c r="BS89" s="253">
        <f t="shared" si="41"/>
        <v>0</v>
      </c>
      <c r="BT89" s="257">
        <f t="shared" si="42"/>
        <v>0</v>
      </c>
      <c r="BU89" s="257">
        <f t="shared" si="43"/>
        <v>0</v>
      </c>
      <c r="BV89" s="257">
        <f t="shared" si="44"/>
        <v>0</v>
      </c>
      <c r="BW89" s="257">
        <f t="shared" si="45"/>
        <v>0</v>
      </c>
      <c r="BX89" s="257">
        <f t="shared" si="46"/>
        <v>0</v>
      </c>
      <c r="BY89" s="257">
        <f t="shared" si="47"/>
        <v>0</v>
      </c>
      <c r="BZ89" s="257">
        <f t="shared" si="48"/>
        <v>0</v>
      </c>
      <c r="CA89" s="257">
        <f t="shared" si="49"/>
        <v>0</v>
      </c>
      <c r="CB89" s="257">
        <f t="shared" si="50"/>
        <v>0</v>
      </c>
      <c r="CC89" s="257" t="str">
        <f t="shared" si="83"/>
        <v/>
      </c>
      <c r="CD89" t="str">
        <f>IF(AND(CP89=""),"",IF(CP89=0,"",1+(MAX(CD$59:CD88))))</f>
        <v/>
      </c>
      <c r="CE89" s="135">
        <v>31</v>
      </c>
      <c r="CF89" s="253">
        <f t="shared" si="51"/>
        <v>0</v>
      </c>
      <c r="CG89" s="257">
        <f t="shared" si="52"/>
        <v>0</v>
      </c>
      <c r="CH89" s="257">
        <f t="shared" si="53"/>
        <v>0</v>
      </c>
      <c r="CI89" s="257">
        <f t="shared" si="54"/>
        <v>0</v>
      </c>
      <c r="CJ89" s="257">
        <f t="shared" si="55"/>
        <v>0</v>
      </c>
      <c r="CK89" s="257">
        <f t="shared" si="56"/>
        <v>0</v>
      </c>
      <c r="CL89" s="257">
        <f t="shared" si="57"/>
        <v>0</v>
      </c>
      <c r="CM89" s="257">
        <f t="shared" si="58"/>
        <v>0</v>
      </c>
      <c r="CN89" s="257">
        <f t="shared" si="59"/>
        <v>0</v>
      </c>
      <c r="CO89" s="257">
        <f t="shared" si="60"/>
        <v>0</v>
      </c>
      <c r="CP89" s="257" t="str">
        <f t="shared" si="61"/>
        <v/>
      </c>
      <c r="CQ89" t="str">
        <f>IF(AND(DC89=""),"",IF(DC89=0,"",1+(MAX(CQ$59:CQ88))))</f>
        <v/>
      </c>
      <c r="CR89" s="135">
        <v>31</v>
      </c>
      <c r="CS89" s="253">
        <f t="shared" si="62"/>
        <v>0</v>
      </c>
      <c r="CT89" s="257">
        <f t="shared" si="63"/>
        <v>0</v>
      </c>
      <c r="CU89" s="257">
        <f t="shared" si="64"/>
        <v>0</v>
      </c>
      <c r="CV89" s="257">
        <f t="shared" si="65"/>
        <v>0</v>
      </c>
      <c r="CW89" s="257">
        <f t="shared" si="66"/>
        <v>0</v>
      </c>
      <c r="CX89" s="257">
        <f t="shared" si="67"/>
        <v>0</v>
      </c>
      <c r="CY89" s="257">
        <f t="shared" si="68"/>
        <v>0</v>
      </c>
      <c r="CZ89" s="257">
        <f t="shared" si="69"/>
        <v>0</v>
      </c>
      <c r="DA89" s="257">
        <f t="shared" si="70"/>
        <v>0</v>
      </c>
      <c r="DB89" s="257">
        <f t="shared" si="71"/>
        <v>0</v>
      </c>
      <c r="DC89" s="257" t="str">
        <f t="shared" si="72"/>
        <v/>
      </c>
    </row>
    <row r="90" spans="1:107" ht="20.25">
      <c r="A90" s="36">
        <v>32</v>
      </c>
      <c r="B90" s="62"/>
      <c r="C90" s="63"/>
      <c r="D90" s="64"/>
      <c r="E90" s="217"/>
      <c r="F90" s="217"/>
      <c r="G90" s="218"/>
      <c r="H90" s="65"/>
      <c r="I90" s="65"/>
      <c r="J90" s="65"/>
      <c r="K90" s="66"/>
      <c r="L90" s="75"/>
      <c r="M90" s="75"/>
      <c r="N90" s="75"/>
      <c r="AB90" t="str">
        <f t="shared" si="14"/>
        <v/>
      </c>
      <c r="AC90">
        <f t="shared" si="15"/>
        <v>1</v>
      </c>
      <c r="AD90" t="str">
        <f>IF(AND(AP90=""),"",IF(AP90=0,"",1+(MAX(AD$59:AD89))))</f>
        <v/>
      </c>
      <c r="AE90" s="135">
        <v>32</v>
      </c>
      <c r="AF90" s="253">
        <f t="shared" si="16"/>
        <v>0</v>
      </c>
      <c r="AG90" s="257">
        <f t="shared" si="17"/>
        <v>0</v>
      </c>
      <c r="AH90" s="257">
        <f t="shared" si="18"/>
        <v>0</v>
      </c>
      <c r="AI90" s="257">
        <f t="shared" si="19"/>
        <v>0</v>
      </c>
      <c r="AJ90" s="257">
        <f t="shared" si="20"/>
        <v>0</v>
      </c>
      <c r="AK90" s="257">
        <f t="shared" si="21"/>
        <v>0</v>
      </c>
      <c r="AL90" s="257">
        <f t="shared" si="22"/>
        <v>0</v>
      </c>
      <c r="AM90" s="257">
        <f t="shared" si="23"/>
        <v>0</v>
      </c>
      <c r="AN90" s="257">
        <f t="shared" si="24"/>
        <v>0</v>
      </c>
      <c r="AO90" s="257">
        <f t="shared" si="25"/>
        <v>0</v>
      </c>
      <c r="AP90" s="257" t="str">
        <f t="shared" si="26"/>
        <v/>
      </c>
      <c r="AQ90" t="str">
        <f>IF(AND(BC90=""),"",IF(BC90=0,"",1+(MAX(AQ$59:AQ89))))</f>
        <v/>
      </c>
      <c r="AR90" s="256">
        <v>32</v>
      </c>
      <c r="AS90" s="253">
        <f t="shared" si="73"/>
        <v>0</v>
      </c>
      <c r="AT90" s="254">
        <f t="shared" si="74"/>
        <v>0</v>
      </c>
      <c r="AU90" s="254">
        <f t="shared" si="75"/>
        <v>0</v>
      </c>
      <c r="AV90" s="254">
        <f t="shared" si="76"/>
        <v>0</v>
      </c>
      <c r="AW90" s="254">
        <f t="shared" si="77"/>
        <v>0</v>
      </c>
      <c r="AX90" s="254">
        <f t="shared" si="78"/>
        <v>0</v>
      </c>
      <c r="AY90" s="254">
        <f t="shared" si="79"/>
        <v>0</v>
      </c>
      <c r="AZ90" s="254">
        <f t="shared" si="80"/>
        <v>0</v>
      </c>
      <c r="BA90" s="254">
        <f t="shared" si="81"/>
        <v>0</v>
      </c>
      <c r="BB90" s="254">
        <f t="shared" si="28"/>
        <v>0</v>
      </c>
      <c r="BC90" s="257" t="str">
        <f t="shared" si="29"/>
        <v/>
      </c>
      <c r="BD90" t="str">
        <f>IF(AND(BP90=""),"",IF(BP90=0,"",1+(MAX(BD$59:BD89))))</f>
        <v/>
      </c>
      <c r="BE90" s="135">
        <v>32</v>
      </c>
      <c r="BF90" s="253">
        <f t="shared" si="30"/>
        <v>0</v>
      </c>
      <c r="BG90" s="257">
        <f t="shared" si="31"/>
        <v>0</v>
      </c>
      <c r="BH90" s="257">
        <f t="shared" si="32"/>
        <v>0</v>
      </c>
      <c r="BI90" s="257">
        <f t="shared" si="33"/>
        <v>0</v>
      </c>
      <c r="BJ90" s="257">
        <f t="shared" si="34"/>
        <v>0</v>
      </c>
      <c r="BK90" s="257">
        <f t="shared" si="35"/>
        <v>0</v>
      </c>
      <c r="BL90" s="257">
        <f t="shared" si="36"/>
        <v>0</v>
      </c>
      <c r="BM90" s="257">
        <f t="shared" si="37"/>
        <v>0</v>
      </c>
      <c r="BN90" s="257">
        <f t="shared" si="38"/>
        <v>0</v>
      </c>
      <c r="BO90" s="257">
        <f t="shared" si="39"/>
        <v>0</v>
      </c>
      <c r="BP90" s="257" t="str">
        <f t="shared" si="40"/>
        <v/>
      </c>
      <c r="BQ90" t="str">
        <f>IF(AND(CC90=""),"",IF(CC90=0,"",1+(MAX(BQ$59:BQ89))))</f>
        <v/>
      </c>
      <c r="BR90" s="256">
        <v>32</v>
      </c>
      <c r="BS90" s="253">
        <f t="shared" si="41"/>
        <v>0</v>
      </c>
      <c r="BT90" s="257">
        <f t="shared" si="42"/>
        <v>0</v>
      </c>
      <c r="BU90" s="257">
        <f t="shared" si="43"/>
        <v>0</v>
      </c>
      <c r="BV90" s="257">
        <f t="shared" si="44"/>
        <v>0</v>
      </c>
      <c r="BW90" s="257">
        <f t="shared" si="45"/>
        <v>0</v>
      </c>
      <c r="BX90" s="257">
        <f t="shared" si="46"/>
        <v>0</v>
      </c>
      <c r="BY90" s="257">
        <f t="shared" si="47"/>
        <v>0</v>
      </c>
      <c r="BZ90" s="257">
        <f t="shared" si="48"/>
        <v>0</v>
      </c>
      <c r="CA90" s="257">
        <f t="shared" si="49"/>
        <v>0</v>
      </c>
      <c r="CB90" s="257">
        <f t="shared" si="50"/>
        <v>0</v>
      </c>
      <c r="CC90" s="257" t="str">
        <f t="shared" si="83"/>
        <v/>
      </c>
      <c r="CD90" t="str">
        <f>IF(AND(CP90=""),"",IF(CP90=0,"",1+(MAX(CD$59:CD89))))</f>
        <v/>
      </c>
      <c r="CE90" s="135">
        <v>32</v>
      </c>
      <c r="CF90" s="253">
        <f t="shared" si="51"/>
        <v>0</v>
      </c>
      <c r="CG90" s="257">
        <f t="shared" si="52"/>
        <v>0</v>
      </c>
      <c r="CH90" s="257">
        <f t="shared" si="53"/>
        <v>0</v>
      </c>
      <c r="CI90" s="257">
        <f t="shared" si="54"/>
        <v>0</v>
      </c>
      <c r="CJ90" s="257">
        <f t="shared" si="55"/>
        <v>0</v>
      </c>
      <c r="CK90" s="257">
        <f t="shared" si="56"/>
        <v>0</v>
      </c>
      <c r="CL90" s="257">
        <f t="shared" si="57"/>
        <v>0</v>
      </c>
      <c r="CM90" s="257">
        <f t="shared" si="58"/>
        <v>0</v>
      </c>
      <c r="CN90" s="257">
        <f t="shared" si="59"/>
        <v>0</v>
      </c>
      <c r="CO90" s="257">
        <f t="shared" si="60"/>
        <v>0</v>
      </c>
      <c r="CP90" s="257" t="str">
        <f t="shared" si="61"/>
        <v/>
      </c>
      <c r="CQ90" t="str">
        <f>IF(AND(DC90=""),"",IF(DC90=0,"",1+(MAX(CQ$59:CQ89))))</f>
        <v/>
      </c>
      <c r="CR90" s="256">
        <v>32</v>
      </c>
      <c r="CS90" s="253">
        <f t="shared" si="62"/>
        <v>0</v>
      </c>
      <c r="CT90" s="257">
        <f t="shared" si="63"/>
        <v>0</v>
      </c>
      <c r="CU90" s="257">
        <f t="shared" si="64"/>
        <v>0</v>
      </c>
      <c r="CV90" s="257">
        <f t="shared" si="65"/>
        <v>0</v>
      </c>
      <c r="CW90" s="257">
        <f t="shared" si="66"/>
        <v>0</v>
      </c>
      <c r="CX90" s="257">
        <f t="shared" si="67"/>
        <v>0</v>
      </c>
      <c r="CY90" s="257">
        <f t="shared" si="68"/>
        <v>0</v>
      </c>
      <c r="CZ90" s="257">
        <f t="shared" si="69"/>
        <v>0</v>
      </c>
      <c r="DA90" s="257">
        <f t="shared" si="70"/>
        <v>0</v>
      </c>
      <c r="DB90" s="257">
        <f t="shared" si="71"/>
        <v>0</v>
      </c>
      <c r="DC90" s="257" t="str">
        <f t="shared" si="72"/>
        <v/>
      </c>
    </row>
    <row r="91" spans="1:107" ht="20.25">
      <c r="A91" s="36">
        <v>33</v>
      </c>
      <c r="B91" s="62"/>
      <c r="C91" s="63"/>
      <c r="D91" s="64"/>
      <c r="E91" s="217"/>
      <c r="F91" s="217"/>
      <c r="G91" s="218"/>
      <c r="H91" s="65"/>
      <c r="I91" s="65"/>
      <c r="J91" s="65"/>
      <c r="K91" s="66"/>
      <c r="L91" s="75"/>
      <c r="M91" s="75"/>
      <c r="N91" s="75"/>
      <c r="AB91" t="str">
        <f t="shared" si="14"/>
        <v/>
      </c>
      <c r="AC91">
        <f t="shared" si="15"/>
        <v>1</v>
      </c>
      <c r="AD91" t="str">
        <f>IF(AND(AP91=""),"",IF(AP91=0,"",1+(MAX(AD$59:AD90))))</f>
        <v/>
      </c>
      <c r="AE91" s="135">
        <v>33</v>
      </c>
      <c r="AF91" s="253">
        <f t="shared" si="16"/>
        <v>0</v>
      </c>
      <c r="AG91" s="257">
        <f t="shared" si="17"/>
        <v>0</v>
      </c>
      <c r="AH91" s="257">
        <f t="shared" si="18"/>
        <v>0</v>
      </c>
      <c r="AI91" s="257">
        <f t="shared" si="19"/>
        <v>0</v>
      </c>
      <c r="AJ91" s="257">
        <f t="shared" si="20"/>
        <v>0</v>
      </c>
      <c r="AK91" s="257">
        <f t="shared" si="21"/>
        <v>0</v>
      </c>
      <c r="AL91" s="257">
        <f t="shared" si="22"/>
        <v>0</v>
      </c>
      <c r="AM91" s="257">
        <f t="shared" si="23"/>
        <v>0</v>
      </c>
      <c r="AN91" s="257">
        <f t="shared" si="24"/>
        <v>0</v>
      </c>
      <c r="AO91" s="257">
        <f t="shared" si="25"/>
        <v>0</v>
      </c>
      <c r="AP91" s="257" t="str">
        <f t="shared" si="26"/>
        <v/>
      </c>
      <c r="AQ91" t="str">
        <f>IF(AND(BC91=""),"",IF(BC91=0,"",1+(MAX(AQ$59:AQ90))))</f>
        <v/>
      </c>
      <c r="AR91" s="256">
        <v>33</v>
      </c>
      <c r="AS91" s="253">
        <f t="shared" si="73"/>
        <v>0</v>
      </c>
      <c r="AT91" s="254">
        <f t="shared" si="74"/>
        <v>0</v>
      </c>
      <c r="AU91" s="254">
        <f t="shared" si="75"/>
        <v>0</v>
      </c>
      <c r="AV91" s="254">
        <f t="shared" si="76"/>
        <v>0</v>
      </c>
      <c r="AW91" s="254">
        <f t="shared" si="77"/>
        <v>0</v>
      </c>
      <c r="AX91" s="254">
        <f t="shared" si="78"/>
        <v>0</v>
      </c>
      <c r="AY91" s="254">
        <f t="shared" si="79"/>
        <v>0</v>
      </c>
      <c r="AZ91" s="254">
        <f t="shared" si="80"/>
        <v>0</v>
      </c>
      <c r="BA91" s="254">
        <f t="shared" si="81"/>
        <v>0</v>
      </c>
      <c r="BB91" s="254">
        <f t="shared" si="28"/>
        <v>0</v>
      </c>
      <c r="BC91" s="257" t="str">
        <f t="shared" si="29"/>
        <v/>
      </c>
      <c r="BD91" t="str">
        <f>IF(AND(BP91=""),"",IF(BP91=0,"",1+(MAX(BD$59:BD90))))</f>
        <v/>
      </c>
      <c r="BE91" s="135">
        <v>33</v>
      </c>
      <c r="BF91" s="253">
        <f t="shared" si="30"/>
        <v>0</v>
      </c>
      <c r="BG91" s="257">
        <f t="shared" si="31"/>
        <v>0</v>
      </c>
      <c r="BH91" s="257">
        <f t="shared" si="32"/>
        <v>0</v>
      </c>
      <c r="BI91" s="257">
        <f t="shared" si="33"/>
        <v>0</v>
      </c>
      <c r="BJ91" s="257">
        <f t="shared" si="34"/>
        <v>0</v>
      </c>
      <c r="BK91" s="257">
        <f t="shared" si="35"/>
        <v>0</v>
      </c>
      <c r="BL91" s="257">
        <f t="shared" si="36"/>
        <v>0</v>
      </c>
      <c r="BM91" s="257">
        <f t="shared" si="37"/>
        <v>0</v>
      </c>
      <c r="BN91" s="257">
        <f t="shared" si="38"/>
        <v>0</v>
      </c>
      <c r="BO91" s="257">
        <f t="shared" si="39"/>
        <v>0</v>
      </c>
      <c r="BP91" s="257" t="str">
        <f t="shared" si="40"/>
        <v/>
      </c>
      <c r="BQ91" t="str">
        <f>IF(AND(CC91=""),"",IF(CC91=0,"",1+(MAX(BQ$59:BQ90))))</f>
        <v/>
      </c>
      <c r="BR91" s="256">
        <v>33</v>
      </c>
      <c r="BS91" s="253">
        <f t="shared" si="41"/>
        <v>0</v>
      </c>
      <c r="BT91" s="257">
        <f t="shared" si="42"/>
        <v>0</v>
      </c>
      <c r="BU91" s="257">
        <f t="shared" si="43"/>
        <v>0</v>
      </c>
      <c r="BV91" s="257">
        <f t="shared" si="44"/>
        <v>0</v>
      </c>
      <c r="BW91" s="257">
        <f t="shared" si="45"/>
        <v>0</v>
      </c>
      <c r="BX91" s="257">
        <f t="shared" si="46"/>
        <v>0</v>
      </c>
      <c r="BY91" s="257">
        <f t="shared" si="47"/>
        <v>0</v>
      </c>
      <c r="BZ91" s="257">
        <f t="shared" si="48"/>
        <v>0</v>
      </c>
      <c r="CA91" s="257">
        <f t="shared" si="49"/>
        <v>0</v>
      </c>
      <c r="CB91" s="257">
        <f t="shared" si="50"/>
        <v>0</v>
      </c>
      <c r="CC91" s="257" t="str">
        <f t="shared" si="83"/>
        <v/>
      </c>
      <c r="CD91" t="str">
        <f>IF(AND(CP91=""),"",IF(CP91=0,"",1+(MAX(CD$59:CD90))))</f>
        <v/>
      </c>
      <c r="CE91" s="135">
        <v>33</v>
      </c>
      <c r="CF91" s="253">
        <f t="shared" si="51"/>
        <v>0</v>
      </c>
      <c r="CG91" s="257">
        <f t="shared" si="52"/>
        <v>0</v>
      </c>
      <c r="CH91" s="257">
        <f t="shared" si="53"/>
        <v>0</v>
      </c>
      <c r="CI91" s="257">
        <f t="shared" si="54"/>
        <v>0</v>
      </c>
      <c r="CJ91" s="257">
        <f t="shared" si="55"/>
        <v>0</v>
      </c>
      <c r="CK91" s="257">
        <f t="shared" si="56"/>
        <v>0</v>
      </c>
      <c r="CL91" s="257">
        <f t="shared" si="57"/>
        <v>0</v>
      </c>
      <c r="CM91" s="257">
        <f t="shared" si="58"/>
        <v>0</v>
      </c>
      <c r="CN91" s="257">
        <f t="shared" si="59"/>
        <v>0</v>
      </c>
      <c r="CO91" s="257">
        <f t="shared" si="60"/>
        <v>0</v>
      </c>
      <c r="CP91" s="257" t="str">
        <f t="shared" si="61"/>
        <v/>
      </c>
      <c r="CQ91" t="str">
        <f>IF(AND(DC91=""),"",IF(DC91=0,"",1+(MAX(CQ$59:CQ90))))</f>
        <v/>
      </c>
      <c r="CR91" s="135">
        <v>33</v>
      </c>
      <c r="CS91" s="253">
        <f t="shared" si="62"/>
        <v>0</v>
      </c>
      <c r="CT91" s="257">
        <f t="shared" si="63"/>
        <v>0</v>
      </c>
      <c r="CU91" s="257">
        <f t="shared" si="64"/>
        <v>0</v>
      </c>
      <c r="CV91" s="257">
        <f t="shared" si="65"/>
        <v>0</v>
      </c>
      <c r="CW91" s="257">
        <f t="shared" si="66"/>
        <v>0</v>
      </c>
      <c r="CX91" s="257">
        <f t="shared" si="67"/>
        <v>0</v>
      </c>
      <c r="CY91" s="257">
        <f t="shared" si="68"/>
        <v>0</v>
      </c>
      <c r="CZ91" s="257">
        <f t="shared" si="69"/>
        <v>0</v>
      </c>
      <c r="DA91" s="257">
        <f t="shared" si="70"/>
        <v>0</v>
      </c>
      <c r="DB91" s="257">
        <f t="shared" si="71"/>
        <v>0</v>
      </c>
      <c r="DC91" s="257" t="str">
        <f t="shared" si="72"/>
        <v/>
      </c>
    </row>
    <row r="92" spans="1:107" ht="20.25">
      <c r="A92" s="36">
        <v>34</v>
      </c>
      <c r="B92" s="62"/>
      <c r="C92" s="63"/>
      <c r="D92" s="64"/>
      <c r="E92" s="217"/>
      <c r="F92" s="217"/>
      <c r="G92" s="218"/>
      <c r="H92" s="65"/>
      <c r="I92" s="65"/>
      <c r="J92" s="65"/>
      <c r="K92" s="66"/>
      <c r="L92" s="75"/>
      <c r="M92" s="75"/>
      <c r="N92" s="75"/>
      <c r="AB92" t="str">
        <f t="shared" si="14"/>
        <v/>
      </c>
      <c r="AC92">
        <f t="shared" si="15"/>
        <v>1</v>
      </c>
      <c r="AD92" t="str">
        <f>IF(AND(AP92=""),"",IF(AP92=0,"",1+(MAX(AD$59:AD91))))</f>
        <v/>
      </c>
      <c r="AE92" s="135">
        <v>34</v>
      </c>
      <c r="AF92" s="253">
        <f t="shared" si="16"/>
        <v>0</v>
      </c>
      <c r="AG92" s="257">
        <f t="shared" si="17"/>
        <v>0</v>
      </c>
      <c r="AH92" s="257">
        <f t="shared" si="18"/>
        <v>0</v>
      </c>
      <c r="AI92" s="257">
        <f t="shared" si="19"/>
        <v>0</v>
      </c>
      <c r="AJ92" s="257">
        <f t="shared" si="20"/>
        <v>0</v>
      </c>
      <c r="AK92" s="257">
        <f t="shared" si="21"/>
        <v>0</v>
      </c>
      <c r="AL92" s="257">
        <f t="shared" si="22"/>
        <v>0</v>
      </c>
      <c r="AM92" s="257">
        <f t="shared" si="23"/>
        <v>0</v>
      </c>
      <c r="AN92" s="257">
        <f t="shared" si="24"/>
        <v>0</v>
      </c>
      <c r="AO92" s="257">
        <f t="shared" si="25"/>
        <v>0</v>
      </c>
      <c r="AP92" s="257" t="str">
        <f t="shared" si="26"/>
        <v/>
      </c>
      <c r="AQ92" t="str">
        <f>IF(AND(BC92=""),"",IF(BC92=0,"",1+(MAX(AQ$59:AQ91))))</f>
        <v/>
      </c>
      <c r="AR92" s="256">
        <v>34</v>
      </c>
      <c r="AS92" s="253">
        <f t="shared" si="73"/>
        <v>0</v>
      </c>
      <c r="AT92" s="254">
        <f t="shared" si="74"/>
        <v>0</v>
      </c>
      <c r="AU92" s="254">
        <f t="shared" si="75"/>
        <v>0</v>
      </c>
      <c r="AV92" s="254">
        <f t="shared" si="76"/>
        <v>0</v>
      </c>
      <c r="AW92" s="254">
        <f t="shared" si="77"/>
        <v>0</v>
      </c>
      <c r="AX92" s="254">
        <f t="shared" si="78"/>
        <v>0</v>
      </c>
      <c r="AY92" s="254">
        <f t="shared" si="79"/>
        <v>0</v>
      </c>
      <c r="AZ92" s="254">
        <f t="shared" si="80"/>
        <v>0</v>
      </c>
      <c r="BA92" s="254">
        <f t="shared" si="81"/>
        <v>0</v>
      </c>
      <c r="BB92" s="254">
        <f t="shared" si="28"/>
        <v>0</v>
      </c>
      <c r="BC92" s="257" t="str">
        <f t="shared" si="29"/>
        <v/>
      </c>
      <c r="BD92" t="str">
        <f>IF(AND(BP92=""),"",IF(BP92=0,"",1+(MAX(BD$59:BD91))))</f>
        <v/>
      </c>
      <c r="BE92" s="135">
        <v>34</v>
      </c>
      <c r="BF92" s="253">
        <f t="shared" ref="BF92:BF108" si="84">IF($K92="GAZETTED - FIX PAY",B92,0)</f>
        <v>0</v>
      </c>
      <c r="BG92" s="257">
        <f t="shared" ref="BG92:BG108" si="85">IF($K92="GAZETTED - FIX PAY",C92,0)</f>
        <v>0</v>
      </c>
      <c r="BH92" s="257">
        <f t="shared" ref="BH92:BH108" si="86">IF($K92="GAZETTED - FIX PAY",D92,0)</f>
        <v>0</v>
      </c>
      <c r="BI92" s="257">
        <f t="shared" ref="BI92:BI108" si="87">IF($K92="GAZETTED - FIX PAY",E92,0)</f>
        <v>0</v>
      </c>
      <c r="BJ92" s="257">
        <f t="shared" ref="BJ92:BJ108" si="88">IF($K92="GAZETTED - FIX PAY",F92,0)</f>
        <v>0</v>
      </c>
      <c r="BK92" s="257">
        <f t="shared" ref="BK92:BK108" si="89">IF($K92="GAZETTED - FIX PAY",G92,0)</f>
        <v>0</v>
      </c>
      <c r="BL92" s="257">
        <f t="shared" ref="BL92:BL108" si="90">IF($K92="GAZETTED - FIX PAY",H92,0)</f>
        <v>0</v>
      </c>
      <c r="BM92" s="257">
        <f t="shared" ref="BM92:BM108" si="91">IF($K92="GAZETTED - FIX PAY",I92,0)</f>
        <v>0</v>
      </c>
      <c r="BN92" s="257">
        <f t="shared" ref="BN92:BN108" si="92">IF($K92="GAZETTED - FIX PAY",J92,0)</f>
        <v>0</v>
      </c>
      <c r="BO92" s="257">
        <f t="shared" si="39"/>
        <v>0</v>
      </c>
      <c r="BP92" s="257" t="str">
        <f t="shared" si="40"/>
        <v/>
      </c>
      <c r="BQ92" t="str">
        <f>IF(AND(CC92=""),"",IF(CC92=0,"",1+(MAX(BQ$59:BQ91))))</f>
        <v/>
      </c>
      <c r="BR92" s="256">
        <v>34</v>
      </c>
      <c r="BS92" s="253">
        <f t="shared" ref="BS92:BS108" si="93">IF($K92="NON GAZETTED - FIX PAY",B92,0)</f>
        <v>0</v>
      </c>
      <c r="BT92" s="257">
        <f t="shared" ref="BT92:BT108" si="94">IF($K92="NON GAZETTED - FIX PAY",C92,0)</f>
        <v>0</v>
      </c>
      <c r="BU92" s="257">
        <f t="shared" ref="BU92:BU108" si="95">IF($K92="NON GAZETTED - FIX PAY",D92,0)</f>
        <v>0</v>
      </c>
      <c r="BV92" s="257">
        <f t="shared" ref="BV92:BV108" si="96">IF($K92="NON GAZETTED - FIX PAY",E92,0)</f>
        <v>0</v>
      </c>
      <c r="BW92" s="257">
        <f t="shared" ref="BW92:BW108" si="97">IF($K92="NON GAZETTED - FIX PAY",F92,0)</f>
        <v>0</v>
      </c>
      <c r="BX92" s="257">
        <f t="shared" ref="BX92:BX108" si="98">IF($K92="NON GAZETTED - FIX PAY",G92,0)</f>
        <v>0</v>
      </c>
      <c r="BY92" s="257">
        <f t="shared" ref="BY92:BY108" si="99">IF($K92="NON GAZETTED - FIX PAY",H92,0)</f>
        <v>0</v>
      </c>
      <c r="BZ92" s="257">
        <f t="shared" ref="BZ92:BZ108" si="100">IF($K92="NON GAZETTED - FIX PAY",I92,0)</f>
        <v>0</v>
      </c>
      <c r="CA92" s="257">
        <f t="shared" ref="CA92:CA108" si="101">IF($K92="NON GAZETTED - FIX PAY",J92,0)</f>
        <v>0</v>
      </c>
      <c r="CB92" s="257">
        <f t="shared" si="50"/>
        <v>0</v>
      </c>
      <c r="CC92" s="257" t="str">
        <f t="shared" si="83"/>
        <v/>
      </c>
      <c r="CD92" t="str">
        <f>IF(AND(CP92=""),"",IF(CP92=0,"",1+(MAX(CD$59:CD91))))</f>
        <v/>
      </c>
      <c r="CE92" s="135">
        <v>34</v>
      </c>
      <c r="CF92" s="253">
        <f t="shared" si="51"/>
        <v>0</v>
      </c>
      <c r="CG92" s="257">
        <f t="shared" si="52"/>
        <v>0</v>
      </c>
      <c r="CH92" s="257">
        <f t="shared" si="53"/>
        <v>0</v>
      </c>
      <c r="CI92" s="257">
        <f t="shared" si="54"/>
        <v>0</v>
      </c>
      <c r="CJ92" s="257">
        <f t="shared" si="55"/>
        <v>0</v>
      </c>
      <c r="CK92" s="257">
        <f t="shared" si="56"/>
        <v>0</v>
      </c>
      <c r="CL92" s="257">
        <f t="shared" si="57"/>
        <v>0</v>
      </c>
      <c r="CM92" s="257">
        <f t="shared" si="58"/>
        <v>0</v>
      </c>
      <c r="CN92" s="257">
        <f t="shared" si="59"/>
        <v>0</v>
      </c>
      <c r="CO92" s="257">
        <f t="shared" si="60"/>
        <v>0</v>
      </c>
      <c r="CP92" s="257" t="str">
        <f t="shared" si="61"/>
        <v/>
      </c>
      <c r="CQ92" t="str">
        <f>IF(AND(DC92=""),"",IF(DC92=0,"",1+(MAX(CQ$59:CQ91))))</f>
        <v/>
      </c>
      <c r="CR92" s="256">
        <v>34</v>
      </c>
      <c r="CS92" s="253">
        <f t="shared" si="62"/>
        <v>0</v>
      </c>
      <c r="CT92" s="257">
        <f t="shared" si="63"/>
        <v>0</v>
      </c>
      <c r="CU92" s="257">
        <f t="shared" si="64"/>
        <v>0</v>
      </c>
      <c r="CV92" s="257">
        <f t="shared" si="65"/>
        <v>0</v>
      </c>
      <c r="CW92" s="257">
        <f t="shared" si="66"/>
        <v>0</v>
      </c>
      <c r="CX92" s="257">
        <f t="shared" si="67"/>
        <v>0</v>
      </c>
      <c r="CY92" s="257">
        <f t="shared" si="68"/>
        <v>0</v>
      </c>
      <c r="CZ92" s="257">
        <f t="shared" si="69"/>
        <v>0</v>
      </c>
      <c r="DA92" s="257">
        <f t="shared" si="70"/>
        <v>0</v>
      </c>
      <c r="DB92" s="257">
        <f t="shared" si="71"/>
        <v>0</v>
      </c>
      <c r="DC92" s="257" t="str">
        <f t="shared" si="72"/>
        <v/>
      </c>
    </row>
    <row r="93" spans="1:107" ht="20.25">
      <c r="A93" s="36">
        <v>35</v>
      </c>
      <c r="B93" s="62"/>
      <c r="C93" s="63"/>
      <c r="D93" s="64"/>
      <c r="E93" s="217"/>
      <c r="F93" s="217"/>
      <c r="G93" s="218"/>
      <c r="H93" s="65"/>
      <c r="I93" s="65"/>
      <c r="J93" s="65"/>
      <c r="K93" s="66"/>
      <c r="L93" s="75"/>
      <c r="M93" s="75"/>
      <c r="N93" s="75"/>
      <c r="AB93" t="str">
        <f t="shared" si="14"/>
        <v/>
      </c>
      <c r="AC93">
        <f t="shared" si="15"/>
        <v>1</v>
      </c>
      <c r="AD93" t="str">
        <f>IF(AND(AP93=""),"",IF(AP93=0,"",1+(MAX(AD$59:AD92))))</f>
        <v/>
      </c>
      <c r="AE93" s="135">
        <v>35</v>
      </c>
      <c r="AF93" s="253">
        <f t="shared" si="16"/>
        <v>0</v>
      </c>
      <c r="AG93" s="257">
        <f t="shared" si="17"/>
        <v>0</v>
      </c>
      <c r="AH93" s="257">
        <f t="shared" si="18"/>
        <v>0</v>
      </c>
      <c r="AI93" s="257">
        <f t="shared" si="19"/>
        <v>0</v>
      </c>
      <c r="AJ93" s="257">
        <f t="shared" si="20"/>
        <v>0</v>
      </c>
      <c r="AK93" s="257">
        <f t="shared" si="21"/>
        <v>0</v>
      </c>
      <c r="AL93" s="257">
        <f t="shared" si="22"/>
        <v>0</v>
      </c>
      <c r="AM93" s="257">
        <f t="shared" si="23"/>
        <v>0</v>
      </c>
      <c r="AN93" s="257">
        <f t="shared" si="24"/>
        <v>0</v>
      </c>
      <c r="AO93" s="257">
        <f t="shared" si="25"/>
        <v>0</v>
      </c>
      <c r="AP93" s="257" t="str">
        <f t="shared" si="26"/>
        <v/>
      </c>
      <c r="AQ93" t="str">
        <f>IF(AND(BC93=""),"",IF(BC93=0,"",1+(MAX(AQ$59:AQ92))))</f>
        <v/>
      </c>
      <c r="AR93" s="256">
        <v>35</v>
      </c>
      <c r="AS93" s="253">
        <f t="shared" si="73"/>
        <v>0</v>
      </c>
      <c r="AT93" s="254">
        <f t="shared" si="74"/>
        <v>0</v>
      </c>
      <c r="AU93" s="254">
        <f t="shared" si="75"/>
        <v>0</v>
      </c>
      <c r="AV93" s="254">
        <f t="shared" si="76"/>
        <v>0</v>
      </c>
      <c r="AW93" s="254">
        <f t="shared" si="77"/>
        <v>0</v>
      </c>
      <c r="AX93" s="254">
        <f t="shared" si="78"/>
        <v>0</v>
      </c>
      <c r="AY93" s="254">
        <f t="shared" si="79"/>
        <v>0</v>
      </c>
      <c r="AZ93" s="254">
        <f t="shared" si="80"/>
        <v>0</v>
      </c>
      <c r="BA93" s="254">
        <f t="shared" si="81"/>
        <v>0</v>
      </c>
      <c r="BB93" s="254">
        <f t="shared" si="28"/>
        <v>0</v>
      </c>
      <c r="BC93" s="257" t="str">
        <f t="shared" si="29"/>
        <v/>
      </c>
      <c r="BD93" t="str">
        <f>IF(AND(BP93=""),"",IF(BP93=0,"",1+(MAX(BD$59:BD92))))</f>
        <v/>
      </c>
      <c r="BE93" s="135">
        <v>35</v>
      </c>
      <c r="BF93" s="253">
        <f t="shared" si="84"/>
        <v>0</v>
      </c>
      <c r="BG93" s="257">
        <f t="shared" si="85"/>
        <v>0</v>
      </c>
      <c r="BH93" s="257">
        <f t="shared" si="86"/>
        <v>0</v>
      </c>
      <c r="BI93" s="257">
        <f t="shared" si="87"/>
        <v>0</v>
      </c>
      <c r="BJ93" s="257">
        <f t="shared" si="88"/>
        <v>0</v>
      </c>
      <c r="BK93" s="257">
        <f t="shared" si="89"/>
        <v>0</v>
      </c>
      <c r="BL93" s="257">
        <f t="shared" si="90"/>
        <v>0</v>
      </c>
      <c r="BM93" s="257">
        <f t="shared" si="91"/>
        <v>0</v>
      </c>
      <c r="BN93" s="257">
        <f t="shared" si="92"/>
        <v>0</v>
      </c>
      <c r="BO93" s="257">
        <f t="shared" si="39"/>
        <v>0</v>
      </c>
      <c r="BP93" s="257" t="str">
        <f t="shared" si="40"/>
        <v/>
      </c>
      <c r="BQ93" t="str">
        <f>IF(AND(CC93=""),"",IF(CC93=0,"",1+(MAX(BQ$59:BQ92))))</f>
        <v/>
      </c>
      <c r="BR93" s="256">
        <v>35</v>
      </c>
      <c r="BS93" s="253">
        <f t="shared" si="93"/>
        <v>0</v>
      </c>
      <c r="BT93" s="257">
        <f t="shared" si="94"/>
        <v>0</v>
      </c>
      <c r="BU93" s="257">
        <f t="shared" si="95"/>
        <v>0</v>
      </c>
      <c r="BV93" s="257">
        <f t="shared" si="96"/>
        <v>0</v>
      </c>
      <c r="BW93" s="257">
        <f t="shared" si="97"/>
        <v>0</v>
      </c>
      <c r="BX93" s="257">
        <f t="shared" si="98"/>
        <v>0</v>
      </c>
      <c r="BY93" s="257">
        <f t="shared" si="99"/>
        <v>0</v>
      </c>
      <c r="BZ93" s="257">
        <f t="shared" si="100"/>
        <v>0</v>
      </c>
      <c r="CA93" s="257">
        <f t="shared" si="101"/>
        <v>0</v>
      </c>
      <c r="CB93" s="257">
        <f t="shared" si="50"/>
        <v>0</v>
      </c>
      <c r="CC93" s="257" t="str">
        <f t="shared" si="83"/>
        <v/>
      </c>
      <c r="CD93" t="str">
        <f>IF(AND(CP93=""),"",IF(CP93=0,"",1+(MAX(CD$59:CD92))))</f>
        <v/>
      </c>
      <c r="CE93" s="135">
        <v>35</v>
      </c>
      <c r="CF93" s="253">
        <f t="shared" si="51"/>
        <v>0</v>
      </c>
      <c r="CG93" s="257">
        <f t="shared" si="52"/>
        <v>0</v>
      </c>
      <c r="CH93" s="257">
        <f t="shared" si="53"/>
        <v>0</v>
      </c>
      <c r="CI93" s="257">
        <f t="shared" si="54"/>
        <v>0</v>
      </c>
      <c r="CJ93" s="257">
        <f t="shared" si="55"/>
        <v>0</v>
      </c>
      <c r="CK93" s="257">
        <f t="shared" si="56"/>
        <v>0</v>
      </c>
      <c r="CL93" s="257">
        <f t="shared" si="57"/>
        <v>0</v>
      </c>
      <c r="CM93" s="257">
        <f t="shared" si="58"/>
        <v>0</v>
      </c>
      <c r="CN93" s="257">
        <f t="shared" si="59"/>
        <v>0</v>
      </c>
      <c r="CO93" s="257">
        <f t="shared" si="60"/>
        <v>0</v>
      </c>
      <c r="CP93" s="257" t="str">
        <f t="shared" si="61"/>
        <v/>
      </c>
      <c r="CQ93" t="str">
        <f>IF(AND(DC93=""),"",IF(DC93=0,"",1+(MAX(CQ$59:CQ92))))</f>
        <v/>
      </c>
      <c r="CR93" s="135">
        <v>35</v>
      </c>
      <c r="CS93" s="253">
        <f t="shared" si="62"/>
        <v>0</v>
      </c>
      <c r="CT93" s="257">
        <f t="shared" si="63"/>
        <v>0</v>
      </c>
      <c r="CU93" s="257">
        <f t="shared" si="64"/>
        <v>0</v>
      </c>
      <c r="CV93" s="257">
        <f t="shared" si="65"/>
        <v>0</v>
      </c>
      <c r="CW93" s="257">
        <f t="shared" si="66"/>
        <v>0</v>
      </c>
      <c r="CX93" s="257">
        <f t="shared" si="67"/>
        <v>0</v>
      </c>
      <c r="CY93" s="257">
        <f t="shared" si="68"/>
        <v>0</v>
      </c>
      <c r="CZ93" s="257">
        <f t="shared" si="69"/>
        <v>0</v>
      </c>
      <c r="DA93" s="257">
        <f t="shared" si="70"/>
        <v>0</v>
      </c>
      <c r="DB93" s="257">
        <f t="shared" si="71"/>
        <v>0</v>
      </c>
      <c r="DC93" s="257" t="str">
        <f t="shared" si="72"/>
        <v/>
      </c>
    </row>
    <row r="94" spans="1:107" ht="20.25">
      <c r="A94" s="36">
        <v>36</v>
      </c>
      <c r="B94" s="62"/>
      <c r="C94" s="63"/>
      <c r="D94" s="64"/>
      <c r="E94" s="217"/>
      <c r="F94" s="217"/>
      <c r="G94" s="218"/>
      <c r="H94" s="65"/>
      <c r="I94" s="65"/>
      <c r="J94" s="65"/>
      <c r="K94" s="66"/>
      <c r="L94" s="75"/>
      <c r="M94" s="75"/>
      <c r="N94" s="75"/>
      <c r="AB94" t="str">
        <f t="shared" si="14"/>
        <v/>
      </c>
      <c r="AC94">
        <f t="shared" si="15"/>
        <v>1</v>
      </c>
      <c r="AD94" t="str">
        <f>IF(AND(AP94=""),"",IF(AP94=0,"",1+(MAX(AD$59:AD93))))</f>
        <v/>
      </c>
      <c r="AE94" s="135">
        <v>36</v>
      </c>
      <c r="AF94" s="253">
        <f t="shared" si="16"/>
        <v>0</v>
      </c>
      <c r="AG94" s="257">
        <f t="shared" si="17"/>
        <v>0</v>
      </c>
      <c r="AH94" s="257">
        <f t="shared" si="18"/>
        <v>0</v>
      </c>
      <c r="AI94" s="257">
        <f t="shared" si="19"/>
        <v>0</v>
      </c>
      <c r="AJ94" s="257">
        <f t="shared" si="20"/>
        <v>0</v>
      </c>
      <c r="AK94" s="257">
        <f t="shared" si="21"/>
        <v>0</v>
      </c>
      <c r="AL94" s="257">
        <f t="shared" si="22"/>
        <v>0</v>
      </c>
      <c r="AM94" s="257">
        <f t="shared" si="23"/>
        <v>0</v>
      </c>
      <c r="AN94" s="257">
        <f t="shared" si="24"/>
        <v>0</v>
      </c>
      <c r="AO94" s="257">
        <f t="shared" si="25"/>
        <v>0</v>
      </c>
      <c r="AP94" s="257" t="str">
        <f t="shared" si="26"/>
        <v/>
      </c>
      <c r="AQ94" t="str">
        <f>IF(AND(BC94=""),"",IF(BC94=0,"",1+(MAX(AQ$59:AQ93))))</f>
        <v/>
      </c>
      <c r="AR94" s="256">
        <v>36</v>
      </c>
      <c r="AS94" s="253">
        <f t="shared" si="73"/>
        <v>0</v>
      </c>
      <c r="AT94" s="254">
        <f t="shared" si="74"/>
        <v>0</v>
      </c>
      <c r="AU94" s="254">
        <f t="shared" si="75"/>
        <v>0</v>
      </c>
      <c r="AV94" s="254">
        <f t="shared" si="76"/>
        <v>0</v>
      </c>
      <c r="AW94" s="254">
        <f t="shared" si="77"/>
        <v>0</v>
      </c>
      <c r="AX94" s="254">
        <f t="shared" si="78"/>
        <v>0</v>
      </c>
      <c r="AY94" s="254">
        <f t="shared" si="79"/>
        <v>0</v>
      </c>
      <c r="AZ94" s="254">
        <f t="shared" si="80"/>
        <v>0</v>
      </c>
      <c r="BA94" s="254">
        <f t="shared" si="81"/>
        <v>0</v>
      </c>
      <c r="BB94" s="254">
        <f t="shared" si="28"/>
        <v>0</v>
      </c>
      <c r="BC94" s="257" t="str">
        <f t="shared" si="29"/>
        <v/>
      </c>
      <c r="BD94" t="str">
        <f>IF(AND(BP94=""),"",IF(BP94=0,"",1+(MAX(BD$59:BD93))))</f>
        <v/>
      </c>
      <c r="BE94" s="135">
        <v>36</v>
      </c>
      <c r="BF94" s="253">
        <f t="shared" si="84"/>
        <v>0</v>
      </c>
      <c r="BG94" s="257">
        <f t="shared" si="85"/>
        <v>0</v>
      </c>
      <c r="BH94" s="257">
        <f t="shared" si="86"/>
        <v>0</v>
      </c>
      <c r="BI94" s="257">
        <f t="shared" si="87"/>
        <v>0</v>
      </c>
      <c r="BJ94" s="257">
        <f t="shared" si="88"/>
        <v>0</v>
      </c>
      <c r="BK94" s="257">
        <f t="shared" si="89"/>
        <v>0</v>
      </c>
      <c r="BL94" s="257">
        <f t="shared" si="90"/>
        <v>0</v>
      </c>
      <c r="BM94" s="257">
        <f t="shared" si="91"/>
        <v>0</v>
      </c>
      <c r="BN94" s="257">
        <f t="shared" si="92"/>
        <v>0</v>
      </c>
      <c r="BO94" s="257">
        <f t="shared" si="39"/>
        <v>0</v>
      </c>
      <c r="BP94" s="257" t="str">
        <f t="shared" si="40"/>
        <v/>
      </c>
      <c r="BQ94" t="str">
        <f>IF(AND(CC94=""),"",IF(CC94=0,"",1+(MAX(BQ$59:BQ93))))</f>
        <v/>
      </c>
      <c r="BR94" s="256">
        <v>36</v>
      </c>
      <c r="BS94" s="253">
        <f t="shared" si="93"/>
        <v>0</v>
      </c>
      <c r="BT94" s="257">
        <f t="shared" si="94"/>
        <v>0</v>
      </c>
      <c r="BU94" s="257">
        <f t="shared" si="95"/>
        <v>0</v>
      </c>
      <c r="BV94" s="257">
        <f t="shared" si="96"/>
        <v>0</v>
      </c>
      <c r="BW94" s="257">
        <f t="shared" si="97"/>
        <v>0</v>
      </c>
      <c r="BX94" s="257">
        <f t="shared" si="98"/>
        <v>0</v>
      </c>
      <c r="BY94" s="257">
        <f t="shared" si="99"/>
        <v>0</v>
      </c>
      <c r="BZ94" s="257">
        <f t="shared" si="100"/>
        <v>0</v>
      </c>
      <c r="CA94" s="257">
        <f t="shared" si="101"/>
        <v>0</v>
      </c>
      <c r="CB94" s="257">
        <f t="shared" si="50"/>
        <v>0</v>
      </c>
      <c r="CC94" s="257" t="str">
        <f t="shared" si="83"/>
        <v/>
      </c>
      <c r="CD94" t="str">
        <f>IF(AND(CP94=""),"",IF(CP94=0,"",1+(MAX(CD$59:CD93))))</f>
        <v/>
      </c>
      <c r="CE94" s="135">
        <v>36</v>
      </c>
      <c r="CF94" s="253">
        <f t="shared" si="51"/>
        <v>0</v>
      </c>
      <c r="CG94" s="257">
        <f t="shared" si="52"/>
        <v>0</v>
      </c>
      <c r="CH94" s="257">
        <f t="shared" si="53"/>
        <v>0</v>
      </c>
      <c r="CI94" s="257">
        <f t="shared" si="54"/>
        <v>0</v>
      </c>
      <c r="CJ94" s="257">
        <f t="shared" si="55"/>
        <v>0</v>
      </c>
      <c r="CK94" s="257">
        <f t="shared" si="56"/>
        <v>0</v>
      </c>
      <c r="CL94" s="257">
        <f t="shared" si="57"/>
        <v>0</v>
      </c>
      <c r="CM94" s="257">
        <f t="shared" si="58"/>
        <v>0</v>
      </c>
      <c r="CN94" s="257">
        <f t="shared" si="59"/>
        <v>0</v>
      </c>
      <c r="CO94" s="257">
        <f t="shared" si="60"/>
        <v>0</v>
      </c>
      <c r="CP94" s="257" t="str">
        <f t="shared" si="61"/>
        <v/>
      </c>
      <c r="CQ94" t="str">
        <f>IF(AND(DC94=""),"",IF(DC94=0,"",1+(MAX(CQ$59:CQ93))))</f>
        <v/>
      </c>
      <c r="CR94" s="256">
        <v>36</v>
      </c>
      <c r="CS94" s="253">
        <f t="shared" si="62"/>
        <v>0</v>
      </c>
      <c r="CT94" s="257">
        <f t="shared" si="63"/>
        <v>0</v>
      </c>
      <c r="CU94" s="257">
        <f t="shared" si="64"/>
        <v>0</v>
      </c>
      <c r="CV94" s="257">
        <f t="shared" si="65"/>
        <v>0</v>
      </c>
      <c r="CW94" s="257">
        <f t="shared" si="66"/>
        <v>0</v>
      </c>
      <c r="CX94" s="257">
        <f t="shared" si="67"/>
        <v>0</v>
      </c>
      <c r="CY94" s="257">
        <f t="shared" si="68"/>
        <v>0</v>
      </c>
      <c r="CZ94" s="257">
        <f t="shared" si="69"/>
        <v>0</v>
      </c>
      <c r="DA94" s="257">
        <f t="shared" si="70"/>
        <v>0</v>
      </c>
      <c r="DB94" s="257">
        <f t="shared" si="71"/>
        <v>0</v>
      </c>
      <c r="DC94" s="257" t="str">
        <f t="shared" si="72"/>
        <v/>
      </c>
    </row>
    <row r="95" spans="1:107" ht="20.25">
      <c r="A95" s="36">
        <v>37</v>
      </c>
      <c r="B95" s="62"/>
      <c r="C95" s="63"/>
      <c r="D95" s="64"/>
      <c r="E95" s="217"/>
      <c r="F95" s="217"/>
      <c r="G95" s="218"/>
      <c r="H95" s="65"/>
      <c r="I95" s="65"/>
      <c r="J95" s="65"/>
      <c r="K95" s="66"/>
      <c r="L95" s="75"/>
      <c r="M95" s="75"/>
      <c r="N95" s="75"/>
      <c r="AB95" t="str">
        <f t="shared" si="14"/>
        <v/>
      </c>
      <c r="AC95">
        <f t="shared" si="15"/>
        <v>1</v>
      </c>
      <c r="AD95" t="str">
        <f>IF(AND(AP95=""),"",IF(AP95=0,"",1+(MAX(AD$59:AD94))))</f>
        <v/>
      </c>
      <c r="AE95" s="135">
        <v>37</v>
      </c>
      <c r="AF95" s="253">
        <f t="shared" si="16"/>
        <v>0</v>
      </c>
      <c r="AG95" s="257">
        <f t="shared" si="17"/>
        <v>0</v>
      </c>
      <c r="AH95" s="257">
        <f t="shared" si="18"/>
        <v>0</v>
      </c>
      <c r="AI95" s="257">
        <f t="shared" si="19"/>
        <v>0</v>
      </c>
      <c r="AJ95" s="257">
        <f t="shared" si="20"/>
        <v>0</v>
      </c>
      <c r="AK95" s="257">
        <f t="shared" si="21"/>
        <v>0</v>
      </c>
      <c r="AL95" s="257">
        <f t="shared" si="22"/>
        <v>0</v>
      </c>
      <c r="AM95" s="257">
        <f t="shared" si="23"/>
        <v>0</v>
      </c>
      <c r="AN95" s="257">
        <f t="shared" si="24"/>
        <v>0</v>
      </c>
      <c r="AO95" s="257">
        <f t="shared" si="25"/>
        <v>0</v>
      </c>
      <c r="AP95" s="257" t="str">
        <f t="shared" si="26"/>
        <v/>
      </c>
      <c r="AQ95" t="str">
        <f>IF(AND(BC95=""),"",IF(BC95=0,"",1+(MAX(AQ$59:AQ94))))</f>
        <v/>
      </c>
      <c r="AR95" s="256">
        <v>37</v>
      </c>
      <c r="AS95" s="253">
        <f t="shared" si="73"/>
        <v>0</v>
      </c>
      <c r="AT95" s="254">
        <f t="shared" si="74"/>
        <v>0</v>
      </c>
      <c r="AU95" s="254">
        <f t="shared" si="75"/>
        <v>0</v>
      </c>
      <c r="AV95" s="254">
        <f t="shared" si="76"/>
        <v>0</v>
      </c>
      <c r="AW95" s="254">
        <f t="shared" si="77"/>
        <v>0</v>
      </c>
      <c r="AX95" s="254">
        <f t="shared" si="78"/>
        <v>0</v>
      </c>
      <c r="AY95" s="254">
        <f t="shared" si="79"/>
        <v>0</v>
      </c>
      <c r="AZ95" s="254">
        <f t="shared" si="80"/>
        <v>0</v>
      </c>
      <c r="BA95" s="254">
        <f t="shared" si="81"/>
        <v>0</v>
      </c>
      <c r="BB95" s="254">
        <f t="shared" si="28"/>
        <v>0</v>
      </c>
      <c r="BC95" s="257" t="str">
        <f t="shared" si="29"/>
        <v/>
      </c>
      <c r="BD95" t="str">
        <f>IF(AND(BP95=""),"",IF(BP95=0,"",1+(MAX(BD$59:BD94))))</f>
        <v/>
      </c>
      <c r="BE95" s="135">
        <v>37</v>
      </c>
      <c r="BF95" s="253">
        <f t="shared" si="84"/>
        <v>0</v>
      </c>
      <c r="BG95" s="257">
        <f t="shared" si="85"/>
        <v>0</v>
      </c>
      <c r="BH95" s="257">
        <f t="shared" si="86"/>
        <v>0</v>
      </c>
      <c r="BI95" s="257">
        <f t="shared" si="87"/>
        <v>0</v>
      </c>
      <c r="BJ95" s="257">
        <f t="shared" si="88"/>
        <v>0</v>
      </c>
      <c r="BK95" s="257">
        <f t="shared" si="89"/>
        <v>0</v>
      </c>
      <c r="BL95" s="257">
        <f t="shared" si="90"/>
        <v>0</v>
      </c>
      <c r="BM95" s="257">
        <f t="shared" si="91"/>
        <v>0</v>
      </c>
      <c r="BN95" s="257">
        <f t="shared" si="92"/>
        <v>0</v>
      </c>
      <c r="BO95" s="257">
        <f t="shared" si="39"/>
        <v>0</v>
      </c>
      <c r="BP95" s="257" t="str">
        <f t="shared" si="40"/>
        <v/>
      </c>
      <c r="BQ95" t="str">
        <f>IF(AND(CC95=""),"",IF(CC95=0,"",1+(MAX(BQ$59:BQ94))))</f>
        <v/>
      </c>
      <c r="BR95" s="256">
        <v>37</v>
      </c>
      <c r="BS95" s="253">
        <f t="shared" si="93"/>
        <v>0</v>
      </c>
      <c r="BT95" s="257">
        <f t="shared" si="94"/>
        <v>0</v>
      </c>
      <c r="BU95" s="257">
        <f t="shared" si="95"/>
        <v>0</v>
      </c>
      <c r="BV95" s="257">
        <f t="shared" si="96"/>
        <v>0</v>
      </c>
      <c r="BW95" s="257">
        <f t="shared" si="97"/>
        <v>0</v>
      </c>
      <c r="BX95" s="257">
        <f t="shared" si="98"/>
        <v>0</v>
      </c>
      <c r="BY95" s="257">
        <f t="shared" si="99"/>
        <v>0</v>
      </c>
      <c r="BZ95" s="257">
        <f t="shared" si="100"/>
        <v>0</v>
      </c>
      <c r="CA95" s="257">
        <f t="shared" si="101"/>
        <v>0</v>
      </c>
      <c r="CB95" s="257">
        <f t="shared" si="50"/>
        <v>0</v>
      </c>
      <c r="CC95" s="257" t="str">
        <f t="shared" si="83"/>
        <v/>
      </c>
      <c r="CD95" t="str">
        <f>IF(AND(CP95=""),"",IF(CP95=0,"",1+(MAX(CD$59:CD94))))</f>
        <v/>
      </c>
      <c r="CE95" s="135">
        <v>37</v>
      </c>
      <c r="CF95" s="253">
        <f t="shared" si="51"/>
        <v>0</v>
      </c>
      <c r="CG95" s="257">
        <f t="shared" si="52"/>
        <v>0</v>
      </c>
      <c r="CH95" s="257">
        <f t="shared" si="53"/>
        <v>0</v>
      </c>
      <c r="CI95" s="257">
        <f t="shared" si="54"/>
        <v>0</v>
      </c>
      <c r="CJ95" s="257">
        <f t="shared" si="55"/>
        <v>0</v>
      </c>
      <c r="CK95" s="257">
        <f t="shared" si="56"/>
        <v>0</v>
      </c>
      <c r="CL95" s="257">
        <f t="shared" si="57"/>
        <v>0</v>
      </c>
      <c r="CM95" s="257">
        <f t="shared" si="58"/>
        <v>0</v>
      </c>
      <c r="CN95" s="257">
        <f t="shared" si="59"/>
        <v>0</v>
      </c>
      <c r="CO95" s="257">
        <f t="shared" si="60"/>
        <v>0</v>
      </c>
      <c r="CP95" s="257" t="str">
        <f t="shared" si="61"/>
        <v/>
      </c>
      <c r="CQ95" t="str">
        <f>IF(AND(DC95=""),"",IF(DC95=0,"",1+(MAX(CQ$59:CQ94))))</f>
        <v/>
      </c>
      <c r="CR95" s="135">
        <v>37</v>
      </c>
      <c r="CS95" s="253">
        <f t="shared" si="62"/>
        <v>0</v>
      </c>
      <c r="CT95" s="257">
        <f t="shared" si="63"/>
        <v>0</v>
      </c>
      <c r="CU95" s="257">
        <f t="shared" si="64"/>
        <v>0</v>
      </c>
      <c r="CV95" s="257">
        <f t="shared" si="65"/>
        <v>0</v>
      </c>
      <c r="CW95" s="257">
        <f t="shared" si="66"/>
        <v>0</v>
      </c>
      <c r="CX95" s="257">
        <f t="shared" si="67"/>
        <v>0</v>
      </c>
      <c r="CY95" s="257">
        <f t="shared" si="68"/>
        <v>0</v>
      </c>
      <c r="CZ95" s="257">
        <f t="shared" si="69"/>
        <v>0</v>
      </c>
      <c r="DA95" s="257">
        <f t="shared" si="70"/>
        <v>0</v>
      </c>
      <c r="DB95" s="257">
        <f t="shared" si="71"/>
        <v>0</v>
      </c>
      <c r="DC95" s="257" t="str">
        <f t="shared" si="72"/>
        <v/>
      </c>
    </row>
    <row r="96" spans="1:107" ht="20.25">
      <c r="A96" s="36">
        <v>38</v>
      </c>
      <c r="B96" s="62"/>
      <c r="C96" s="63"/>
      <c r="D96" s="64"/>
      <c r="E96" s="217"/>
      <c r="F96" s="217"/>
      <c r="G96" s="218"/>
      <c r="H96" s="65"/>
      <c r="I96" s="65"/>
      <c r="J96" s="65"/>
      <c r="K96" s="66"/>
      <c r="L96" s="75"/>
      <c r="M96" s="75"/>
      <c r="N96" s="75"/>
      <c r="AB96" t="str">
        <f t="shared" si="14"/>
        <v/>
      </c>
      <c r="AC96">
        <f t="shared" si="15"/>
        <v>1</v>
      </c>
      <c r="AD96" t="str">
        <f>IF(AND(AP96=""),"",IF(AP96=0,"",1+(MAX(AD$59:AD95))))</f>
        <v/>
      </c>
      <c r="AE96" s="135">
        <v>38</v>
      </c>
      <c r="AF96" s="253">
        <f t="shared" si="16"/>
        <v>0</v>
      </c>
      <c r="AG96" s="257">
        <f t="shared" si="17"/>
        <v>0</v>
      </c>
      <c r="AH96" s="257">
        <f t="shared" si="18"/>
        <v>0</v>
      </c>
      <c r="AI96" s="257">
        <f t="shared" si="19"/>
        <v>0</v>
      </c>
      <c r="AJ96" s="257">
        <f t="shared" si="20"/>
        <v>0</v>
      </c>
      <c r="AK96" s="257">
        <f t="shared" si="21"/>
        <v>0</v>
      </c>
      <c r="AL96" s="257">
        <f t="shared" si="22"/>
        <v>0</v>
      </c>
      <c r="AM96" s="257">
        <f t="shared" si="23"/>
        <v>0</v>
      </c>
      <c r="AN96" s="257">
        <f t="shared" si="24"/>
        <v>0</v>
      </c>
      <c r="AO96" s="257">
        <f t="shared" si="25"/>
        <v>0</v>
      </c>
      <c r="AP96" s="257" t="str">
        <f t="shared" si="26"/>
        <v/>
      </c>
      <c r="AQ96" t="str">
        <f>IF(AND(BC96=""),"",IF(BC96=0,"",1+(MAX(AQ$59:AQ95))))</f>
        <v/>
      </c>
      <c r="AR96" s="256">
        <v>38</v>
      </c>
      <c r="AS96" s="253">
        <f t="shared" si="73"/>
        <v>0</v>
      </c>
      <c r="AT96" s="254">
        <f t="shared" si="74"/>
        <v>0</v>
      </c>
      <c r="AU96" s="254">
        <f t="shared" si="75"/>
        <v>0</v>
      </c>
      <c r="AV96" s="254">
        <f t="shared" si="76"/>
        <v>0</v>
      </c>
      <c r="AW96" s="254">
        <f t="shared" si="77"/>
        <v>0</v>
      </c>
      <c r="AX96" s="254">
        <f t="shared" si="78"/>
        <v>0</v>
      </c>
      <c r="AY96" s="254">
        <f t="shared" si="79"/>
        <v>0</v>
      </c>
      <c r="AZ96" s="254">
        <f t="shared" si="80"/>
        <v>0</v>
      </c>
      <c r="BA96" s="254">
        <f t="shared" si="81"/>
        <v>0</v>
      </c>
      <c r="BB96" s="254">
        <f t="shared" si="28"/>
        <v>0</v>
      </c>
      <c r="BC96" s="257" t="str">
        <f t="shared" si="29"/>
        <v/>
      </c>
      <c r="BD96" t="str">
        <f>IF(AND(BP96=""),"",IF(BP96=0,"",1+(MAX(BD$59:BD95))))</f>
        <v/>
      </c>
      <c r="BE96" s="135">
        <v>38</v>
      </c>
      <c r="BF96" s="253">
        <f t="shared" si="84"/>
        <v>0</v>
      </c>
      <c r="BG96" s="257">
        <f t="shared" si="85"/>
        <v>0</v>
      </c>
      <c r="BH96" s="257">
        <f t="shared" si="86"/>
        <v>0</v>
      </c>
      <c r="BI96" s="257">
        <f t="shared" si="87"/>
        <v>0</v>
      </c>
      <c r="BJ96" s="257">
        <f t="shared" si="88"/>
        <v>0</v>
      </c>
      <c r="BK96" s="257">
        <f t="shared" si="89"/>
        <v>0</v>
      </c>
      <c r="BL96" s="257">
        <f t="shared" si="90"/>
        <v>0</v>
      </c>
      <c r="BM96" s="257">
        <f t="shared" si="91"/>
        <v>0</v>
      </c>
      <c r="BN96" s="257">
        <f t="shared" si="92"/>
        <v>0</v>
      </c>
      <c r="BO96" s="257">
        <f t="shared" si="39"/>
        <v>0</v>
      </c>
      <c r="BP96" s="257" t="str">
        <f t="shared" si="40"/>
        <v/>
      </c>
      <c r="BQ96" t="str">
        <f>IF(AND(CC96=""),"",IF(CC96=0,"",1+(MAX(BQ$59:BQ95))))</f>
        <v/>
      </c>
      <c r="BR96" s="256">
        <v>38</v>
      </c>
      <c r="BS96" s="253">
        <f t="shared" si="93"/>
        <v>0</v>
      </c>
      <c r="BT96" s="257">
        <f t="shared" si="94"/>
        <v>0</v>
      </c>
      <c r="BU96" s="257">
        <f t="shared" si="95"/>
        <v>0</v>
      </c>
      <c r="BV96" s="257">
        <f t="shared" si="96"/>
        <v>0</v>
      </c>
      <c r="BW96" s="257">
        <f t="shared" si="97"/>
        <v>0</v>
      </c>
      <c r="BX96" s="257">
        <f t="shared" si="98"/>
        <v>0</v>
      </c>
      <c r="BY96" s="257">
        <f t="shared" si="99"/>
        <v>0</v>
      </c>
      <c r="BZ96" s="257">
        <f t="shared" si="100"/>
        <v>0</v>
      </c>
      <c r="CA96" s="257">
        <f t="shared" si="101"/>
        <v>0</v>
      </c>
      <c r="CB96" s="257">
        <f t="shared" si="50"/>
        <v>0</v>
      </c>
      <c r="CC96" s="257" t="str">
        <f t="shared" si="83"/>
        <v/>
      </c>
      <c r="CD96" t="str">
        <f>IF(AND(CP96=""),"",IF(CP96=0,"",1+(MAX(CD$59:CD95))))</f>
        <v/>
      </c>
      <c r="CE96" s="135">
        <v>38</v>
      </c>
      <c r="CF96" s="253">
        <f t="shared" si="51"/>
        <v>0</v>
      </c>
      <c r="CG96" s="257">
        <f t="shared" si="52"/>
        <v>0</v>
      </c>
      <c r="CH96" s="257">
        <f t="shared" si="53"/>
        <v>0</v>
      </c>
      <c r="CI96" s="257">
        <f t="shared" si="54"/>
        <v>0</v>
      </c>
      <c r="CJ96" s="257">
        <f t="shared" si="55"/>
        <v>0</v>
      </c>
      <c r="CK96" s="257">
        <f t="shared" si="56"/>
        <v>0</v>
      </c>
      <c r="CL96" s="257">
        <f t="shared" si="57"/>
        <v>0</v>
      </c>
      <c r="CM96" s="257">
        <f t="shared" si="58"/>
        <v>0</v>
      </c>
      <c r="CN96" s="257">
        <f t="shared" si="59"/>
        <v>0</v>
      </c>
      <c r="CO96" s="257">
        <f t="shared" si="60"/>
        <v>0</v>
      </c>
      <c r="CP96" s="257" t="str">
        <f t="shared" si="61"/>
        <v/>
      </c>
      <c r="CQ96" t="str">
        <f>IF(AND(DC96=""),"",IF(DC96=0,"",1+(MAX(CQ$59:CQ95))))</f>
        <v/>
      </c>
      <c r="CR96" s="256">
        <v>38</v>
      </c>
      <c r="CS96" s="253">
        <f t="shared" si="62"/>
        <v>0</v>
      </c>
      <c r="CT96" s="257">
        <f t="shared" si="63"/>
        <v>0</v>
      </c>
      <c r="CU96" s="257">
        <f t="shared" si="64"/>
        <v>0</v>
      </c>
      <c r="CV96" s="257">
        <f t="shared" si="65"/>
        <v>0</v>
      </c>
      <c r="CW96" s="257">
        <f t="shared" si="66"/>
        <v>0</v>
      </c>
      <c r="CX96" s="257">
        <f t="shared" si="67"/>
        <v>0</v>
      </c>
      <c r="CY96" s="257">
        <f t="shared" si="68"/>
        <v>0</v>
      </c>
      <c r="CZ96" s="257">
        <f t="shared" si="69"/>
        <v>0</v>
      </c>
      <c r="DA96" s="257">
        <f t="shared" si="70"/>
        <v>0</v>
      </c>
      <c r="DB96" s="257">
        <f t="shared" si="71"/>
        <v>0</v>
      </c>
      <c r="DC96" s="257" t="str">
        <f t="shared" si="72"/>
        <v/>
      </c>
    </row>
    <row r="97" spans="1:107" ht="20.25">
      <c r="A97" s="36">
        <v>39</v>
      </c>
      <c r="B97" s="62"/>
      <c r="C97" s="63"/>
      <c r="D97" s="64"/>
      <c r="E97" s="217"/>
      <c r="F97" s="217"/>
      <c r="G97" s="218"/>
      <c r="H97" s="65"/>
      <c r="I97" s="65"/>
      <c r="J97" s="65"/>
      <c r="K97" s="66"/>
      <c r="L97" s="75"/>
      <c r="M97" s="75"/>
      <c r="N97" s="75"/>
      <c r="AB97" t="str">
        <f t="shared" si="14"/>
        <v/>
      </c>
      <c r="AC97">
        <f t="shared" si="15"/>
        <v>1</v>
      </c>
      <c r="AD97" t="str">
        <f>IF(AND(AP97=""),"",IF(AP97=0,"",1+(MAX(AD$59:AD96))))</f>
        <v/>
      </c>
      <c r="AE97" s="135">
        <v>39</v>
      </c>
      <c r="AF97" s="253">
        <f t="shared" si="16"/>
        <v>0</v>
      </c>
      <c r="AG97" s="257">
        <f t="shared" si="17"/>
        <v>0</v>
      </c>
      <c r="AH97" s="257">
        <f t="shared" si="18"/>
        <v>0</v>
      </c>
      <c r="AI97" s="257">
        <f t="shared" si="19"/>
        <v>0</v>
      </c>
      <c r="AJ97" s="257">
        <f t="shared" si="20"/>
        <v>0</v>
      </c>
      <c r="AK97" s="257">
        <f t="shared" si="21"/>
        <v>0</v>
      </c>
      <c r="AL97" s="257">
        <f t="shared" si="22"/>
        <v>0</v>
      </c>
      <c r="AM97" s="257">
        <f t="shared" si="23"/>
        <v>0</v>
      </c>
      <c r="AN97" s="257">
        <f t="shared" si="24"/>
        <v>0</v>
      </c>
      <c r="AO97" s="257">
        <f t="shared" si="25"/>
        <v>0</v>
      </c>
      <c r="AP97" s="257" t="str">
        <f t="shared" si="26"/>
        <v/>
      </c>
      <c r="AQ97" t="str">
        <f>IF(AND(BC97=""),"",IF(BC97=0,"",1+(MAX(AQ$59:AQ96))))</f>
        <v/>
      </c>
      <c r="AR97" s="256">
        <v>39</v>
      </c>
      <c r="AS97" s="253">
        <f t="shared" si="73"/>
        <v>0</v>
      </c>
      <c r="AT97" s="254">
        <f t="shared" si="74"/>
        <v>0</v>
      </c>
      <c r="AU97" s="254">
        <f t="shared" si="75"/>
        <v>0</v>
      </c>
      <c r="AV97" s="254">
        <f t="shared" si="76"/>
        <v>0</v>
      </c>
      <c r="AW97" s="254">
        <f t="shared" si="77"/>
        <v>0</v>
      </c>
      <c r="AX97" s="254">
        <f t="shared" si="78"/>
        <v>0</v>
      </c>
      <c r="AY97" s="254">
        <f t="shared" si="79"/>
        <v>0</v>
      </c>
      <c r="AZ97" s="254">
        <f t="shared" si="80"/>
        <v>0</v>
      </c>
      <c r="BA97" s="254">
        <f t="shared" si="81"/>
        <v>0</v>
      </c>
      <c r="BB97" s="254">
        <f t="shared" si="28"/>
        <v>0</v>
      </c>
      <c r="BC97" s="257" t="str">
        <f t="shared" si="29"/>
        <v/>
      </c>
      <c r="BD97" t="str">
        <f>IF(AND(BP97=""),"",IF(BP97=0,"",1+(MAX(BD$59:BD96))))</f>
        <v/>
      </c>
      <c r="BE97" s="135">
        <v>39</v>
      </c>
      <c r="BF97" s="253">
        <f t="shared" si="84"/>
        <v>0</v>
      </c>
      <c r="BG97" s="257">
        <f t="shared" si="85"/>
        <v>0</v>
      </c>
      <c r="BH97" s="257">
        <f t="shared" si="86"/>
        <v>0</v>
      </c>
      <c r="BI97" s="257">
        <f t="shared" si="87"/>
        <v>0</v>
      </c>
      <c r="BJ97" s="257">
        <f t="shared" si="88"/>
        <v>0</v>
      </c>
      <c r="BK97" s="257">
        <f t="shared" si="89"/>
        <v>0</v>
      </c>
      <c r="BL97" s="257">
        <f t="shared" si="90"/>
        <v>0</v>
      </c>
      <c r="BM97" s="257">
        <f t="shared" si="91"/>
        <v>0</v>
      </c>
      <c r="BN97" s="257">
        <f t="shared" si="92"/>
        <v>0</v>
      </c>
      <c r="BO97" s="257">
        <f t="shared" si="39"/>
        <v>0</v>
      </c>
      <c r="BP97" s="257" t="str">
        <f t="shared" si="40"/>
        <v/>
      </c>
      <c r="BQ97" t="str">
        <f>IF(AND(CC97=""),"",IF(CC97=0,"",1+(MAX(BQ$59:BQ96))))</f>
        <v/>
      </c>
      <c r="BR97" s="256">
        <v>39</v>
      </c>
      <c r="BS97" s="253">
        <f t="shared" si="93"/>
        <v>0</v>
      </c>
      <c r="BT97" s="257">
        <f t="shared" si="94"/>
        <v>0</v>
      </c>
      <c r="BU97" s="257">
        <f t="shared" si="95"/>
        <v>0</v>
      </c>
      <c r="BV97" s="257">
        <f t="shared" si="96"/>
        <v>0</v>
      </c>
      <c r="BW97" s="257">
        <f t="shared" si="97"/>
        <v>0</v>
      </c>
      <c r="BX97" s="257">
        <f t="shared" si="98"/>
        <v>0</v>
      </c>
      <c r="BY97" s="257">
        <f t="shared" si="99"/>
        <v>0</v>
      </c>
      <c r="BZ97" s="257">
        <f t="shared" si="100"/>
        <v>0</v>
      </c>
      <c r="CA97" s="257">
        <f t="shared" si="101"/>
        <v>0</v>
      </c>
      <c r="CB97" s="257">
        <f t="shared" si="50"/>
        <v>0</v>
      </c>
      <c r="CC97" s="257" t="str">
        <f t="shared" si="83"/>
        <v/>
      </c>
      <c r="CD97" t="str">
        <f>IF(AND(CP97=""),"",IF(CP97=0,"",1+(MAX(CD$59:CD96))))</f>
        <v/>
      </c>
      <c r="CE97" s="135">
        <v>39</v>
      </c>
      <c r="CF97" s="253">
        <f t="shared" si="51"/>
        <v>0</v>
      </c>
      <c r="CG97" s="257">
        <f t="shared" si="52"/>
        <v>0</v>
      </c>
      <c r="CH97" s="257">
        <f t="shared" si="53"/>
        <v>0</v>
      </c>
      <c r="CI97" s="257">
        <f t="shared" si="54"/>
        <v>0</v>
      </c>
      <c r="CJ97" s="257">
        <f t="shared" si="55"/>
        <v>0</v>
      </c>
      <c r="CK97" s="257">
        <f t="shared" si="56"/>
        <v>0</v>
      </c>
      <c r="CL97" s="257">
        <f t="shared" si="57"/>
        <v>0</v>
      </c>
      <c r="CM97" s="257">
        <f t="shared" si="58"/>
        <v>0</v>
      </c>
      <c r="CN97" s="257">
        <f t="shared" si="59"/>
        <v>0</v>
      </c>
      <c r="CO97" s="257">
        <f t="shared" si="60"/>
        <v>0</v>
      </c>
      <c r="CP97" s="257" t="str">
        <f t="shared" si="61"/>
        <v/>
      </c>
      <c r="CQ97" t="str">
        <f>IF(AND(DC97=""),"",IF(DC97=0,"",1+(MAX(CQ$59:CQ96))))</f>
        <v/>
      </c>
      <c r="CR97" s="135">
        <v>39</v>
      </c>
      <c r="CS97" s="253">
        <f t="shared" si="62"/>
        <v>0</v>
      </c>
      <c r="CT97" s="257">
        <f t="shared" si="63"/>
        <v>0</v>
      </c>
      <c r="CU97" s="257">
        <f t="shared" si="64"/>
        <v>0</v>
      </c>
      <c r="CV97" s="257">
        <f t="shared" si="65"/>
        <v>0</v>
      </c>
      <c r="CW97" s="257">
        <f t="shared" si="66"/>
        <v>0</v>
      </c>
      <c r="CX97" s="257">
        <f t="shared" si="67"/>
        <v>0</v>
      </c>
      <c r="CY97" s="257">
        <f t="shared" si="68"/>
        <v>0</v>
      </c>
      <c r="CZ97" s="257">
        <f t="shared" si="69"/>
        <v>0</v>
      </c>
      <c r="DA97" s="257">
        <f t="shared" si="70"/>
        <v>0</v>
      </c>
      <c r="DB97" s="257">
        <f t="shared" si="71"/>
        <v>0</v>
      </c>
      <c r="DC97" s="257" t="str">
        <f t="shared" si="72"/>
        <v/>
      </c>
    </row>
    <row r="98" spans="1:107" ht="20.25">
      <c r="A98" s="36">
        <v>40</v>
      </c>
      <c r="B98" s="62"/>
      <c r="C98" s="63"/>
      <c r="D98" s="64"/>
      <c r="E98" s="217"/>
      <c r="F98" s="217"/>
      <c r="G98" s="218"/>
      <c r="H98" s="65"/>
      <c r="I98" s="65"/>
      <c r="J98" s="65"/>
      <c r="K98" s="66"/>
      <c r="L98" s="75"/>
      <c r="M98" s="75"/>
      <c r="N98" s="75"/>
      <c r="AB98" t="str">
        <f t="shared" si="14"/>
        <v/>
      </c>
      <c r="AC98">
        <f t="shared" si="15"/>
        <v>1</v>
      </c>
      <c r="AD98" t="str">
        <f>IF(AND(AP98=""),"",IF(AP98=0,"",1+(MAX(AD$59:AD97))))</f>
        <v/>
      </c>
      <c r="AE98" s="135">
        <v>40</v>
      </c>
      <c r="AF98" s="253">
        <f t="shared" si="16"/>
        <v>0</v>
      </c>
      <c r="AG98" s="257">
        <f t="shared" si="17"/>
        <v>0</v>
      </c>
      <c r="AH98" s="257">
        <f t="shared" si="18"/>
        <v>0</v>
      </c>
      <c r="AI98" s="257">
        <f t="shared" si="19"/>
        <v>0</v>
      </c>
      <c r="AJ98" s="257">
        <f t="shared" si="20"/>
        <v>0</v>
      </c>
      <c r="AK98" s="257">
        <f t="shared" si="21"/>
        <v>0</v>
      </c>
      <c r="AL98" s="257">
        <f t="shared" si="22"/>
        <v>0</v>
      </c>
      <c r="AM98" s="257">
        <f t="shared" si="23"/>
        <v>0</v>
      </c>
      <c r="AN98" s="257">
        <f t="shared" si="24"/>
        <v>0</v>
      </c>
      <c r="AO98" s="257">
        <f t="shared" si="25"/>
        <v>0</v>
      </c>
      <c r="AP98" s="257" t="str">
        <f t="shared" si="26"/>
        <v/>
      </c>
      <c r="AQ98" t="str">
        <f>IF(AND(BC98=""),"",IF(BC98=0,"",1+(MAX(AQ$59:AQ97))))</f>
        <v/>
      </c>
      <c r="AR98" s="256">
        <v>40</v>
      </c>
      <c r="AS98" s="253">
        <f t="shared" si="73"/>
        <v>0</v>
      </c>
      <c r="AT98" s="254">
        <f t="shared" si="74"/>
        <v>0</v>
      </c>
      <c r="AU98" s="254">
        <f t="shared" si="75"/>
        <v>0</v>
      </c>
      <c r="AV98" s="254">
        <f t="shared" si="76"/>
        <v>0</v>
      </c>
      <c r="AW98" s="254">
        <f t="shared" si="77"/>
        <v>0</v>
      </c>
      <c r="AX98" s="254">
        <f t="shared" si="78"/>
        <v>0</v>
      </c>
      <c r="AY98" s="254">
        <f t="shared" si="79"/>
        <v>0</v>
      </c>
      <c r="AZ98" s="254">
        <f t="shared" si="80"/>
        <v>0</v>
      </c>
      <c r="BA98" s="254">
        <f t="shared" si="81"/>
        <v>0</v>
      </c>
      <c r="BB98" s="254">
        <f t="shared" si="28"/>
        <v>0</v>
      </c>
      <c r="BC98" s="257" t="str">
        <f t="shared" si="29"/>
        <v/>
      </c>
      <c r="BD98" t="str">
        <f>IF(AND(BP98=""),"",IF(BP98=0,"",1+(MAX(BD$59:BD97))))</f>
        <v/>
      </c>
      <c r="BE98" s="135">
        <v>40</v>
      </c>
      <c r="BF98" s="253">
        <f t="shared" si="84"/>
        <v>0</v>
      </c>
      <c r="BG98" s="257">
        <f t="shared" si="85"/>
        <v>0</v>
      </c>
      <c r="BH98" s="257">
        <f t="shared" si="86"/>
        <v>0</v>
      </c>
      <c r="BI98" s="257">
        <f t="shared" si="87"/>
        <v>0</v>
      </c>
      <c r="BJ98" s="257">
        <f t="shared" si="88"/>
        <v>0</v>
      </c>
      <c r="BK98" s="257">
        <f t="shared" si="89"/>
        <v>0</v>
      </c>
      <c r="BL98" s="257">
        <f t="shared" si="90"/>
        <v>0</v>
      </c>
      <c r="BM98" s="257">
        <f t="shared" si="91"/>
        <v>0</v>
      </c>
      <c r="BN98" s="257">
        <f t="shared" si="92"/>
        <v>0</v>
      </c>
      <c r="BO98" s="257">
        <f t="shared" si="39"/>
        <v>0</v>
      </c>
      <c r="BP98" s="257" t="str">
        <f t="shared" si="40"/>
        <v/>
      </c>
      <c r="BQ98" t="str">
        <f>IF(AND(CC98=""),"",IF(CC98=0,"",1+(MAX(BQ$59:BQ97))))</f>
        <v/>
      </c>
      <c r="BR98" s="256">
        <v>40</v>
      </c>
      <c r="BS98" s="253">
        <f t="shared" si="93"/>
        <v>0</v>
      </c>
      <c r="BT98" s="257">
        <f t="shared" si="94"/>
        <v>0</v>
      </c>
      <c r="BU98" s="257">
        <f t="shared" si="95"/>
        <v>0</v>
      </c>
      <c r="BV98" s="257">
        <f t="shared" si="96"/>
        <v>0</v>
      </c>
      <c r="BW98" s="257">
        <f t="shared" si="97"/>
        <v>0</v>
      </c>
      <c r="BX98" s="257">
        <f t="shared" si="98"/>
        <v>0</v>
      </c>
      <c r="BY98" s="257">
        <f t="shared" si="99"/>
        <v>0</v>
      </c>
      <c r="BZ98" s="257">
        <f t="shared" si="100"/>
        <v>0</v>
      </c>
      <c r="CA98" s="257">
        <f t="shared" si="101"/>
        <v>0</v>
      </c>
      <c r="CB98" s="257">
        <f t="shared" si="50"/>
        <v>0</v>
      </c>
      <c r="CC98" s="257" t="str">
        <f t="shared" si="83"/>
        <v/>
      </c>
      <c r="CD98" t="str">
        <f>IF(AND(CP98=""),"",IF(CP98=0,"",1+(MAX(CD$59:CD97))))</f>
        <v/>
      </c>
      <c r="CE98" s="135">
        <v>40</v>
      </c>
      <c r="CF98" s="253">
        <f t="shared" si="51"/>
        <v>0</v>
      </c>
      <c r="CG98" s="257">
        <f t="shared" si="52"/>
        <v>0</v>
      </c>
      <c r="CH98" s="257">
        <f t="shared" si="53"/>
        <v>0</v>
      </c>
      <c r="CI98" s="257">
        <f t="shared" si="54"/>
        <v>0</v>
      </c>
      <c r="CJ98" s="257">
        <f t="shared" si="55"/>
        <v>0</v>
      </c>
      <c r="CK98" s="257">
        <f t="shared" si="56"/>
        <v>0</v>
      </c>
      <c r="CL98" s="257">
        <f t="shared" si="57"/>
        <v>0</v>
      </c>
      <c r="CM98" s="257">
        <f t="shared" si="58"/>
        <v>0</v>
      </c>
      <c r="CN98" s="257">
        <f t="shared" si="59"/>
        <v>0</v>
      </c>
      <c r="CO98" s="257">
        <f t="shared" si="60"/>
        <v>0</v>
      </c>
      <c r="CP98" s="257" t="str">
        <f t="shared" si="61"/>
        <v/>
      </c>
      <c r="CQ98" t="str">
        <f>IF(AND(DC98=""),"",IF(DC98=0,"",1+(MAX(CQ$59:CQ97))))</f>
        <v/>
      </c>
      <c r="CR98" s="256">
        <v>40</v>
      </c>
      <c r="CS98" s="253">
        <f t="shared" si="62"/>
        <v>0</v>
      </c>
      <c r="CT98" s="257">
        <f t="shared" si="63"/>
        <v>0</v>
      </c>
      <c r="CU98" s="257">
        <f t="shared" si="64"/>
        <v>0</v>
      </c>
      <c r="CV98" s="257">
        <f t="shared" si="65"/>
        <v>0</v>
      </c>
      <c r="CW98" s="257">
        <f t="shared" si="66"/>
        <v>0</v>
      </c>
      <c r="CX98" s="257">
        <f t="shared" si="67"/>
        <v>0</v>
      </c>
      <c r="CY98" s="257">
        <f t="shared" si="68"/>
        <v>0</v>
      </c>
      <c r="CZ98" s="257">
        <f t="shared" si="69"/>
        <v>0</v>
      </c>
      <c r="DA98" s="257">
        <f t="shared" si="70"/>
        <v>0</v>
      </c>
      <c r="DB98" s="257">
        <f t="shared" si="71"/>
        <v>0</v>
      </c>
      <c r="DC98" s="257" t="str">
        <f t="shared" si="72"/>
        <v/>
      </c>
    </row>
    <row r="99" spans="1:107" ht="20.25">
      <c r="A99" s="36">
        <v>41</v>
      </c>
      <c r="B99" s="62"/>
      <c r="C99" s="63"/>
      <c r="D99" s="64"/>
      <c r="E99" s="217"/>
      <c r="F99" s="217"/>
      <c r="G99" s="218"/>
      <c r="H99" s="65"/>
      <c r="I99" s="65"/>
      <c r="J99" s="65"/>
      <c r="K99" s="66"/>
      <c r="L99" s="75"/>
      <c r="M99" s="75"/>
      <c r="N99" s="75"/>
      <c r="AB99" t="str">
        <f t="shared" si="14"/>
        <v/>
      </c>
      <c r="AC99">
        <f t="shared" si="15"/>
        <v>1</v>
      </c>
      <c r="AD99" t="str">
        <f>IF(AND(AP99=""),"",IF(AP99=0,"",1+(MAX(AD$59:AD98))))</f>
        <v/>
      </c>
      <c r="AE99" s="135">
        <v>41</v>
      </c>
      <c r="AF99" s="253">
        <f t="shared" si="16"/>
        <v>0</v>
      </c>
      <c r="AG99" s="257">
        <f t="shared" si="17"/>
        <v>0</v>
      </c>
      <c r="AH99" s="257">
        <f t="shared" si="18"/>
        <v>0</v>
      </c>
      <c r="AI99" s="257">
        <f t="shared" si="19"/>
        <v>0</v>
      </c>
      <c r="AJ99" s="257">
        <f t="shared" si="20"/>
        <v>0</v>
      </c>
      <c r="AK99" s="257">
        <f t="shared" si="21"/>
        <v>0</v>
      </c>
      <c r="AL99" s="257">
        <f t="shared" si="22"/>
        <v>0</v>
      </c>
      <c r="AM99" s="257">
        <f t="shared" si="23"/>
        <v>0</v>
      </c>
      <c r="AN99" s="257">
        <f t="shared" si="24"/>
        <v>0</v>
      </c>
      <c r="AO99" s="257">
        <f t="shared" si="25"/>
        <v>0</v>
      </c>
      <c r="AP99" s="257" t="str">
        <f t="shared" si="26"/>
        <v/>
      </c>
      <c r="AQ99" t="str">
        <f>IF(AND(BC99=""),"",IF(BC99=0,"",1+(MAX(AQ$59:AQ98))))</f>
        <v/>
      </c>
      <c r="AR99" s="256">
        <v>41</v>
      </c>
      <c r="AS99" s="253">
        <f t="shared" si="73"/>
        <v>0</v>
      </c>
      <c r="AT99" s="254">
        <f t="shared" si="74"/>
        <v>0</v>
      </c>
      <c r="AU99" s="254">
        <f t="shared" si="75"/>
        <v>0</v>
      </c>
      <c r="AV99" s="254">
        <f t="shared" si="76"/>
        <v>0</v>
      </c>
      <c r="AW99" s="254">
        <f t="shared" si="77"/>
        <v>0</v>
      </c>
      <c r="AX99" s="254">
        <f t="shared" si="78"/>
        <v>0</v>
      </c>
      <c r="AY99" s="254">
        <f t="shared" si="79"/>
        <v>0</v>
      </c>
      <c r="AZ99" s="254">
        <f t="shared" si="80"/>
        <v>0</v>
      </c>
      <c r="BA99" s="254">
        <f t="shared" si="81"/>
        <v>0</v>
      </c>
      <c r="BB99" s="254">
        <f t="shared" si="28"/>
        <v>0</v>
      </c>
      <c r="BC99" s="257" t="str">
        <f t="shared" si="29"/>
        <v/>
      </c>
      <c r="BD99" t="str">
        <f>IF(AND(BP99=""),"",IF(BP99=0,"",1+(MAX(BD$59:BD98))))</f>
        <v/>
      </c>
      <c r="BE99" s="135">
        <v>41</v>
      </c>
      <c r="BF99" s="253">
        <f t="shared" si="84"/>
        <v>0</v>
      </c>
      <c r="BG99" s="257">
        <f t="shared" si="85"/>
        <v>0</v>
      </c>
      <c r="BH99" s="257">
        <f t="shared" si="86"/>
        <v>0</v>
      </c>
      <c r="BI99" s="257">
        <f t="shared" si="87"/>
        <v>0</v>
      </c>
      <c r="BJ99" s="257">
        <f t="shared" si="88"/>
        <v>0</v>
      </c>
      <c r="BK99" s="257">
        <f t="shared" si="89"/>
        <v>0</v>
      </c>
      <c r="BL99" s="257">
        <f t="shared" si="90"/>
        <v>0</v>
      </c>
      <c r="BM99" s="257">
        <f t="shared" si="91"/>
        <v>0</v>
      </c>
      <c r="BN99" s="257">
        <f t="shared" si="92"/>
        <v>0</v>
      </c>
      <c r="BO99" s="257">
        <f t="shared" si="39"/>
        <v>0</v>
      </c>
      <c r="BP99" s="257" t="str">
        <f t="shared" si="40"/>
        <v/>
      </c>
      <c r="BQ99" t="str">
        <f>IF(AND(CC99=""),"",IF(CC99=0,"",1+(MAX(BQ$59:BQ98))))</f>
        <v/>
      </c>
      <c r="BR99" s="256">
        <v>41</v>
      </c>
      <c r="BS99" s="253">
        <f t="shared" si="93"/>
        <v>0</v>
      </c>
      <c r="BT99" s="257">
        <f t="shared" si="94"/>
        <v>0</v>
      </c>
      <c r="BU99" s="257">
        <f t="shared" si="95"/>
        <v>0</v>
      </c>
      <c r="BV99" s="257">
        <f t="shared" si="96"/>
        <v>0</v>
      </c>
      <c r="BW99" s="257">
        <f t="shared" si="97"/>
        <v>0</v>
      </c>
      <c r="BX99" s="257">
        <f t="shared" si="98"/>
        <v>0</v>
      </c>
      <c r="BY99" s="257">
        <f t="shared" si="99"/>
        <v>0</v>
      </c>
      <c r="BZ99" s="257">
        <f t="shared" si="100"/>
        <v>0</v>
      </c>
      <c r="CA99" s="257">
        <f t="shared" si="101"/>
        <v>0</v>
      </c>
      <c r="CB99" s="257">
        <f t="shared" si="50"/>
        <v>0</v>
      </c>
      <c r="CC99" s="257" t="str">
        <f t="shared" si="83"/>
        <v/>
      </c>
      <c r="CD99" t="str">
        <f>IF(AND(CP99=""),"",IF(CP99=0,"",1+(MAX(CD$59:CD98))))</f>
        <v/>
      </c>
      <c r="CE99" s="135">
        <v>41</v>
      </c>
      <c r="CF99" s="253">
        <f t="shared" si="51"/>
        <v>0</v>
      </c>
      <c r="CG99" s="257">
        <f t="shared" si="52"/>
        <v>0</v>
      </c>
      <c r="CH99" s="257">
        <f t="shared" si="53"/>
        <v>0</v>
      </c>
      <c r="CI99" s="257">
        <f t="shared" si="54"/>
        <v>0</v>
      </c>
      <c r="CJ99" s="257">
        <f t="shared" si="55"/>
        <v>0</v>
      </c>
      <c r="CK99" s="257">
        <f t="shared" si="56"/>
        <v>0</v>
      </c>
      <c r="CL99" s="257">
        <f t="shared" si="57"/>
        <v>0</v>
      </c>
      <c r="CM99" s="257">
        <f t="shared" si="58"/>
        <v>0</v>
      </c>
      <c r="CN99" s="257">
        <f t="shared" si="59"/>
        <v>0</v>
      </c>
      <c r="CO99" s="257">
        <f t="shared" si="60"/>
        <v>0</v>
      </c>
      <c r="CP99" s="257" t="str">
        <f t="shared" si="61"/>
        <v/>
      </c>
      <c r="CQ99" t="str">
        <f>IF(AND(DC99=""),"",IF(DC99=0,"",1+(MAX(CQ$59:CQ98))))</f>
        <v/>
      </c>
      <c r="CR99" s="135">
        <v>41</v>
      </c>
      <c r="CS99" s="253">
        <f t="shared" si="62"/>
        <v>0</v>
      </c>
      <c r="CT99" s="257">
        <f t="shared" si="63"/>
        <v>0</v>
      </c>
      <c r="CU99" s="257">
        <f t="shared" si="64"/>
        <v>0</v>
      </c>
      <c r="CV99" s="257">
        <f t="shared" si="65"/>
        <v>0</v>
      </c>
      <c r="CW99" s="257">
        <f t="shared" si="66"/>
        <v>0</v>
      </c>
      <c r="CX99" s="257">
        <f t="shared" si="67"/>
        <v>0</v>
      </c>
      <c r="CY99" s="257">
        <f t="shared" si="68"/>
        <v>0</v>
      </c>
      <c r="CZ99" s="257">
        <f t="shared" si="69"/>
        <v>0</v>
      </c>
      <c r="DA99" s="257">
        <f t="shared" si="70"/>
        <v>0</v>
      </c>
      <c r="DB99" s="257">
        <f t="shared" si="71"/>
        <v>0</v>
      </c>
      <c r="DC99" s="257" t="str">
        <f t="shared" si="72"/>
        <v/>
      </c>
    </row>
    <row r="100" spans="1:107" ht="20.25">
      <c r="A100" s="36">
        <v>42</v>
      </c>
      <c r="B100" s="62"/>
      <c r="C100" s="63"/>
      <c r="D100" s="64"/>
      <c r="E100" s="217"/>
      <c r="F100" s="217"/>
      <c r="G100" s="218"/>
      <c r="H100" s="65"/>
      <c r="I100" s="65"/>
      <c r="J100" s="65"/>
      <c r="K100" s="66"/>
      <c r="L100" s="75"/>
      <c r="M100" s="75"/>
      <c r="N100" s="75"/>
      <c r="AB100" t="str">
        <f t="shared" si="14"/>
        <v/>
      </c>
      <c r="AC100">
        <f t="shared" si="15"/>
        <v>1</v>
      </c>
      <c r="AD100" t="str">
        <f>IF(AND(AP100=""),"",IF(AP100=0,"",1+(MAX(AD$59:AD99))))</f>
        <v/>
      </c>
      <c r="AE100" s="135">
        <v>42</v>
      </c>
      <c r="AF100" s="253">
        <f t="shared" si="16"/>
        <v>0</v>
      </c>
      <c r="AG100" s="257">
        <f t="shared" si="17"/>
        <v>0</v>
      </c>
      <c r="AH100" s="257">
        <f t="shared" si="18"/>
        <v>0</v>
      </c>
      <c r="AI100" s="257">
        <f t="shared" si="19"/>
        <v>0</v>
      </c>
      <c r="AJ100" s="257">
        <f t="shared" si="20"/>
        <v>0</v>
      </c>
      <c r="AK100" s="257">
        <f t="shared" si="21"/>
        <v>0</v>
      </c>
      <c r="AL100" s="257">
        <f t="shared" si="22"/>
        <v>0</v>
      </c>
      <c r="AM100" s="257">
        <f t="shared" si="23"/>
        <v>0</v>
      </c>
      <c r="AN100" s="257">
        <f t="shared" si="24"/>
        <v>0</v>
      </c>
      <c r="AO100" s="257">
        <f t="shared" si="25"/>
        <v>0</v>
      </c>
      <c r="AP100" s="257" t="str">
        <f t="shared" si="26"/>
        <v/>
      </c>
      <c r="AQ100" t="str">
        <f>IF(AND(BC100=""),"",IF(BC100=0,"",1+(MAX(AQ$59:AQ99))))</f>
        <v/>
      </c>
      <c r="AR100" s="256">
        <v>42</v>
      </c>
      <c r="AS100" s="253">
        <f t="shared" si="73"/>
        <v>0</v>
      </c>
      <c r="AT100" s="254">
        <f t="shared" si="74"/>
        <v>0</v>
      </c>
      <c r="AU100" s="254">
        <f t="shared" si="75"/>
        <v>0</v>
      </c>
      <c r="AV100" s="254">
        <f t="shared" si="76"/>
        <v>0</v>
      </c>
      <c r="AW100" s="254">
        <f t="shared" si="77"/>
        <v>0</v>
      </c>
      <c r="AX100" s="254">
        <f t="shared" si="78"/>
        <v>0</v>
      </c>
      <c r="AY100" s="254">
        <f t="shared" si="79"/>
        <v>0</v>
      </c>
      <c r="AZ100" s="254">
        <f t="shared" si="80"/>
        <v>0</v>
      </c>
      <c r="BA100" s="254">
        <f t="shared" si="81"/>
        <v>0</v>
      </c>
      <c r="BB100" s="254">
        <f t="shared" si="28"/>
        <v>0</v>
      </c>
      <c r="BC100" s="257" t="str">
        <f t="shared" si="29"/>
        <v/>
      </c>
      <c r="BD100" t="str">
        <f>IF(AND(BP100=""),"",IF(BP100=0,"",1+(MAX(BD$59:BD99))))</f>
        <v/>
      </c>
      <c r="BE100" s="135">
        <v>42</v>
      </c>
      <c r="BF100" s="253">
        <f t="shared" si="84"/>
        <v>0</v>
      </c>
      <c r="BG100" s="257">
        <f t="shared" si="85"/>
        <v>0</v>
      </c>
      <c r="BH100" s="257">
        <f t="shared" si="86"/>
        <v>0</v>
      </c>
      <c r="BI100" s="257">
        <f t="shared" si="87"/>
        <v>0</v>
      </c>
      <c r="BJ100" s="257">
        <f t="shared" si="88"/>
        <v>0</v>
      </c>
      <c r="BK100" s="257">
        <f t="shared" si="89"/>
        <v>0</v>
      </c>
      <c r="BL100" s="257">
        <f t="shared" si="90"/>
        <v>0</v>
      </c>
      <c r="BM100" s="257">
        <f t="shared" si="91"/>
        <v>0</v>
      </c>
      <c r="BN100" s="257">
        <f t="shared" si="92"/>
        <v>0</v>
      </c>
      <c r="BO100" s="257">
        <f t="shared" si="39"/>
        <v>0</v>
      </c>
      <c r="BP100" s="257" t="str">
        <f t="shared" si="40"/>
        <v/>
      </c>
      <c r="BQ100" t="str">
        <f>IF(AND(CC100=""),"",IF(CC100=0,"",1+(MAX(BQ$59:BQ99))))</f>
        <v/>
      </c>
      <c r="BR100" s="256">
        <v>42</v>
      </c>
      <c r="BS100" s="253">
        <f t="shared" si="93"/>
        <v>0</v>
      </c>
      <c r="BT100" s="257">
        <f t="shared" si="94"/>
        <v>0</v>
      </c>
      <c r="BU100" s="257">
        <f t="shared" si="95"/>
        <v>0</v>
      </c>
      <c r="BV100" s="257">
        <f t="shared" si="96"/>
        <v>0</v>
      </c>
      <c r="BW100" s="257">
        <f t="shared" si="97"/>
        <v>0</v>
      </c>
      <c r="BX100" s="257">
        <f t="shared" si="98"/>
        <v>0</v>
      </c>
      <c r="BY100" s="257">
        <f t="shared" si="99"/>
        <v>0</v>
      </c>
      <c r="BZ100" s="257">
        <f t="shared" si="100"/>
        <v>0</v>
      </c>
      <c r="CA100" s="257">
        <f t="shared" si="101"/>
        <v>0</v>
      </c>
      <c r="CB100" s="257">
        <f t="shared" si="50"/>
        <v>0</v>
      </c>
      <c r="CC100" s="257" t="str">
        <f t="shared" si="83"/>
        <v/>
      </c>
      <c r="CD100" t="str">
        <f>IF(AND(CP100=""),"",IF(CP100=0,"",1+(MAX(CD$59:CD99))))</f>
        <v/>
      </c>
      <c r="CE100" s="135">
        <v>42</v>
      </c>
      <c r="CF100" s="253">
        <f t="shared" si="51"/>
        <v>0</v>
      </c>
      <c r="CG100" s="257">
        <f t="shared" si="52"/>
        <v>0</v>
      </c>
      <c r="CH100" s="257">
        <f t="shared" si="53"/>
        <v>0</v>
      </c>
      <c r="CI100" s="257">
        <f t="shared" si="54"/>
        <v>0</v>
      </c>
      <c r="CJ100" s="257">
        <f t="shared" si="55"/>
        <v>0</v>
      </c>
      <c r="CK100" s="257">
        <f t="shared" si="56"/>
        <v>0</v>
      </c>
      <c r="CL100" s="257">
        <f t="shared" si="57"/>
        <v>0</v>
      </c>
      <c r="CM100" s="257">
        <f t="shared" si="58"/>
        <v>0</v>
      </c>
      <c r="CN100" s="257">
        <f t="shared" si="59"/>
        <v>0</v>
      </c>
      <c r="CO100" s="257">
        <f t="shared" si="60"/>
        <v>0</v>
      </c>
      <c r="CP100" s="257" t="str">
        <f t="shared" si="61"/>
        <v/>
      </c>
      <c r="CQ100" t="str">
        <f>IF(AND(DC100=""),"",IF(DC100=0,"",1+(MAX(CQ$59:CQ99))))</f>
        <v/>
      </c>
      <c r="CR100" s="256">
        <v>42</v>
      </c>
      <c r="CS100" s="253">
        <f t="shared" si="62"/>
        <v>0</v>
      </c>
      <c r="CT100" s="257">
        <f t="shared" si="63"/>
        <v>0</v>
      </c>
      <c r="CU100" s="257">
        <f t="shared" si="64"/>
        <v>0</v>
      </c>
      <c r="CV100" s="257">
        <f t="shared" si="65"/>
        <v>0</v>
      </c>
      <c r="CW100" s="257">
        <f t="shared" si="66"/>
        <v>0</v>
      </c>
      <c r="CX100" s="257">
        <f t="shared" si="67"/>
        <v>0</v>
      </c>
      <c r="CY100" s="257">
        <f t="shared" si="68"/>
        <v>0</v>
      </c>
      <c r="CZ100" s="257">
        <f t="shared" si="69"/>
        <v>0</v>
      </c>
      <c r="DA100" s="257">
        <f t="shared" si="70"/>
        <v>0</v>
      </c>
      <c r="DB100" s="257">
        <f t="shared" si="71"/>
        <v>0</v>
      </c>
      <c r="DC100" s="257" t="str">
        <f t="shared" si="72"/>
        <v/>
      </c>
    </row>
    <row r="101" spans="1:107" ht="20.25">
      <c r="A101" s="36">
        <v>43</v>
      </c>
      <c r="B101" s="62"/>
      <c r="C101" s="63"/>
      <c r="D101" s="64"/>
      <c r="E101" s="217"/>
      <c r="F101" s="217"/>
      <c r="G101" s="218"/>
      <c r="H101" s="65"/>
      <c r="I101" s="65"/>
      <c r="J101" s="65"/>
      <c r="K101" s="66"/>
      <c r="L101" s="75"/>
      <c r="M101" s="75"/>
      <c r="N101" s="75"/>
      <c r="AB101" t="str">
        <f t="shared" si="14"/>
        <v/>
      </c>
      <c r="AC101">
        <f t="shared" si="15"/>
        <v>1</v>
      </c>
      <c r="AD101" t="str">
        <f>IF(AND(AP101=""),"",IF(AP101=0,"",1+(MAX(AD$59:AD100))))</f>
        <v/>
      </c>
      <c r="AE101" s="135">
        <v>43</v>
      </c>
      <c r="AF101" s="253">
        <f t="shared" si="16"/>
        <v>0</v>
      </c>
      <c r="AG101" s="257">
        <f t="shared" si="17"/>
        <v>0</v>
      </c>
      <c r="AH101" s="257">
        <f t="shared" si="18"/>
        <v>0</v>
      </c>
      <c r="AI101" s="257">
        <f t="shared" si="19"/>
        <v>0</v>
      </c>
      <c r="AJ101" s="257">
        <f t="shared" si="20"/>
        <v>0</v>
      </c>
      <c r="AK101" s="257">
        <f t="shared" si="21"/>
        <v>0</v>
      </c>
      <c r="AL101" s="257">
        <f t="shared" si="22"/>
        <v>0</v>
      </c>
      <c r="AM101" s="257">
        <f t="shared" si="23"/>
        <v>0</v>
      </c>
      <c r="AN101" s="257">
        <f t="shared" si="24"/>
        <v>0</v>
      </c>
      <c r="AO101" s="257">
        <f t="shared" si="25"/>
        <v>0</v>
      </c>
      <c r="AP101" s="257" t="str">
        <f t="shared" si="26"/>
        <v/>
      </c>
      <c r="AQ101" t="str">
        <f>IF(AND(BC101=""),"",IF(BC101=0,"",1+(MAX(AQ$59:AQ100))))</f>
        <v/>
      </c>
      <c r="AR101" s="256">
        <v>43</v>
      </c>
      <c r="AS101" s="253">
        <f t="shared" si="73"/>
        <v>0</v>
      </c>
      <c r="AT101" s="254">
        <f t="shared" si="74"/>
        <v>0</v>
      </c>
      <c r="AU101" s="254">
        <f t="shared" si="75"/>
        <v>0</v>
      </c>
      <c r="AV101" s="254">
        <f t="shared" si="76"/>
        <v>0</v>
      </c>
      <c r="AW101" s="254">
        <f t="shared" si="77"/>
        <v>0</v>
      </c>
      <c r="AX101" s="254">
        <f t="shared" si="78"/>
        <v>0</v>
      </c>
      <c r="AY101" s="254">
        <f t="shared" si="79"/>
        <v>0</v>
      </c>
      <c r="AZ101" s="254">
        <f t="shared" si="80"/>
        <v>0</v>
      </c>
      <c r="BA101" s="254">
        <f t="shared" si="81"/>
        <v>0</v>
      </c>
      <c r="BB101" s="254">
        <f t="shared" si="28"/>
        <v>0</v>
      </c>
      <c r="BC101" s="257" t="str">
        <f t="shared" si="29"/>
        <v/>
      </c>
      <c r="BD101" t="str">
        <f>IF(AND(BP101=""),"",IF(BP101=0,"",1+(MAX(BD$59:BD100))))</f>
        <v/>
      </c>
      <c r="BE101" s="135">
        <v>43</v>
      </c>
      <c r="BF101" s="253">
        <f t="shared" si="84"/>
        <v>0</v>
      </c>
      <c r="BG101" s="257">
        <f t="shared" si="85"/>
        <v>0</v>
      </c>
      <c r="BH101" s="257">
        <f t="shared" si="86"/>
        <v>0</v>
      </c>
      <c r="BI101" s="257">
        <f t="shared" si="87"/>
        <v>0</v>
      </c>
      <c r="BJ101" s="257">
        <f t="shared" si="88"/>
        <v>0</v>
      </c>
      <c r="BK101" s="257">
        <f t="shared" si="89"/>
        <v>0</v>
      </c>
      <c r="BL101" s="257">
        <f t="shared" si="90"/>
        <v>0</v>
      </c>
      <c r="BM101" s="257">
        <f t="shared" si="91"/>
        <v>0</v>
      </c>
      <c r="BN101" s="257">
        <f t="shared" si="92"/>
        <v>0</v>
      </c>
      <c r="BO101" s="257">
        <f t="shared" si="39"/>
        <v>0</v>
      </c>
      <c r="BP101" s="257" t="str">
        <f t="shared" si="40"/>
        <v/>
      </c>
      <c r="BQ101" t="str">
        <f>IF(AND(CC101=""),"",IF(CC101=0,"",1+(MAX(BQ$59:BQ100))))</f>
        <v/>
      </c>
      <c r="BR101" s="256">
        <v>43</v>
      </c>
      <c r="BS101" s="253">
        <f t="shared" si="93"/>
        <v>0</v>
      </c>
      <c r="BT101" s="257">
        <f t="shared" si="94"/>
        <v>0</v>
      </c>
      <c r="BU101" s="257">
        <f t="shared" si="95"/>
        <v>0</v>
      </c>
      <c r="BV101" s="257">
        <f t="shared" si="96"/>
        <v>0</v>
      </c>
      <c r="BW101" s="257">
        <f t="shared" si="97"/>
        <v>0</v>
      </c>
      <c r="BX101" s="257">
        <f t="shared" si="98"/>
        <v>0</v>
      </c>
      <c r="BY101" s="257">
        <f t="shared" si="99"/>
        <v>0</v>
      </c>
      <c r="BZ101" s="257">
        <f t="shared" si="100"/>
        <v>0</v>
      </c>
      <c r="CA101" s="257">
        <f t="shared" si="101"/>
        <v>0</v>
      </c>
      <c r="CB101" s="257">
        <f t="shared" si="50"/>
        <v>0</v>
      </c>
      <c r="CC101" s="257" t="str">
        <f t="shared" si="83"/>
        <v/>
      </c>
      <c r="CD101" t="str">
        <f>IF(AND(CP101=""),"",IF(CP101=0,"",1+(MAX(CD$59:CD100))))</f>
        <v/>
      </c>
      <c r="CE101" s="135">
        <v>43</v>
      </c>
      <c r="CF101" s="253">
        <f t="shared" si="51"/>
        <v>0</v>
      </c>
      <c r="CG101" s="257">
        <f t="shared" si="52"/>
        <v>0</v>
      </c>
      <c r="CH101" s="257">
        <f t="shared" si="53"/>
        <v>0</v>
      </c>
      <c r="CI101" s="257">
        <f t="shared" si="54"/>
        <v>0</v>
      </c>
      <c r="CJ101" s="257">
        <f t="shared" si="55"/>
        <v>0</v>
      </c>
      <c r="CK101" s="257">
        <f t="shared" si="56"/>
        <v>0</v>
      </c>
      <c r="CL101" s="257">
        <f t="shared" si="57"/>
        <v>0</v>
      </c>
      <c r="CM101" s="257">
        <f t="shared" si="58"/>
        <v>0</v>
      </c>
      <c r="CN101" s="257">
        <f t="shared" si="59"/>
        <v>0</v>
      </c>
      <c r="CO101" s="257">
        <f t="shared" si="60"/>
        <v>0</v>
      </c>
      <c r="CP101" s="257" t="str">
        <f t="shared" si="61"/>
        <v/>
      </c>
      <c r="CQ101" t="str">
        <f>IF(AND(DC101=""),"",IF(DC101=0,"",1+(MAX(CQ$59:CQ100))))</f>
        <v/>
      </c>
      <c r="CR101" s="135">
        <v>43</v>
      </c>
      <c r="CS101" s="253">
        <f t="shared" si="62"/>
        <v>0</v>
      </c>
      <c r="CT101" s="257">
        <f t="shared" si="63"/>
        <v>0</v>
      </c>
      <c r="CU101" s="257">
        <f t="shared" si="64"/>
        <v>0</v>
      </c>
      <c r="CV101" s="257">
        <f t="shared" si="65"/>
        <v>0</v>
      </c>
      <c r="CW101" s="257">
        <f t="shared" si="66"/>
        <v>0</v>
      </c>
      <c r="CX101" s="257">
        <f t="shared" si="67"/>
        <v>0</v>
      </c>
      <c r="CY101" s="257">
        <f t="shared" si="68"/>
        <v>0</v>
      </c>
      <c r="CZ101" s="257">
        <f t="shared" si="69"/>
        <v>0</v>
      </c>
      <c r="DA101" s="257">
        <f t="shared" si="70"/>
        <v>0</v>
      </c>
      <c r="DB101" s="257">
        <f t="shared" si="71"/>
        <v>0</v>
      </c>
      <c r="DC101" s="257" t="str">
        <f t="shared" si="72"/>
        <v/>
      </c>
    </row>
    <row r="102" spans="1:107" ht="20.25">
      <c r="A102" s="36">
        <v>44</v>
      </c>
      <c r="B102" s="62"/>
      <c r="C102" s="63"/>
      <c r="D102" s="64"/>
      <c r="E102" s="217"/>
      <c r="F102" s="217"/>
      <c r="G102" s="218"/>
      <c r="H102" s="65"/>
      <c r="I102" s="65"/>
      <c r="J102" s="65"/>
      <c r="K102" s="66"/>
      <c r="L102" s="75"/>
      <c r="M102" s="75"/>
      <c r="N102" s="75"/>
      <c r="AB102" t="str">
        <f t="shared" si="14"/>
        <v/>
      </c>
      <c r="AC102">
        <f t="shared" si="15"/>
        <v>1</v>
      </c>
      <c r="AD102" t="str">
        <f>IF(AND(AP102=""),"",IF(AP102=0,"",1+(MAX(AD$59:AD101))))</f>
        <v/>
      </c>
      <c r="AE102" s="135">
        <v>44</v>
      </c>
      <c r="AF102" s="253">
        <f t="shared" si="16"/>
        <v>0</v>
      </c>
      <c r="AG102" s="257">
        <f t="shared" si="17"/>
        <v>0</v>
      </c>
      <c r="AH102" s="257">
        <f t="shared" si="18"/>
        <v>0</v>
      </c>
      <c r="AI102" s="257">
        <f t="shared" si="19"/>
        <v>0</v>
      </c>
      <c r="AJ102" s="257">
        <f t="shared" si="20"/>
        <v>0</v>
      </c>
      <c r="AK102" s="257">
        <f t="shared" si="21"/>
        <v>0</v>
      </c>
      <c r="AL102" s="257">
        <f t="shared" si="22"/>
        <v>0</v>
      </c>
      <c r="AM102" s="257">
        <f t="shared" si="23"/>
        <v>0</v>
      </c>
      <c r="AN102" s="257">
        <f t="shared" si="24"/>
        <v>0</v>
      </c>
      <c r="AO102" s="257">
        <f t="shared" si="25"/>
        <v>0</v>
      </c>
      <c r="AP102" s="257" t="str">
        <f t="shared" si="26"/>
        <v/>
      </c>
      <c r="AQ102" t="str">
        <f>IF(AND(BC102=""),"",IF(BC102=0,"",1+(MAX(AQ$59:AQ101))))</f>
        <v/>
      </c>
      <c r="AR102" s="256">
        <v>44</v>
      </c>
      <c r="AS102" s="253">
        <f t="shared" si="73"/>
        <v>0</v>
      </c>
      <c r="AT102" s="254">
        <f t="shared" si="74"/>
        <v>0</v>
      </c>
      <c r="AU102" s="254">
        <f t="shared" si="75"/>
        <v>0</v>
      </c>
      <c r="AV102" s="254">
        <f t="shared" si="76"/>
        <v>0</v>
      </c>
      <c r="AW102" s="254">
        <f t="shared" si="77"/>
        <v>0</v>
      </c>
      <c r="AX102" s="254">
        <f t="shared" si="78"/>
        <v>0</v>
      </c>
      <c r="AY102" s="254">
        <f t="shared" si="79"/>
        <v>0</v>
      </c>
      <c r="AZ102" s="254">
        <f t="shared" si="80"/>
        <v>0</v>
      </c>
      <c r="BA102" s="254">
        <f t="shared" si="81"/>
        <v>0</v>
      </c>
      <c r="BB102" s="254">
        <f t="shared" si="28"/>
        <v>0</v>
      </c>
      <c r="BC102" s="257" t="str">
        <f t="shared" si="29"/>
        <v/>
      </c>
      <c r="BD102" t="str">
        <f>IF(AND(BP102=""),"",IF(BP102=0,"",1+(MAX(BD$59:BD101))))</f>
        <v/>
      </c>
      <c r="BE102" s="135">
        <v>44</v>
      </c>
      <c r="BF102" s="253">
        <f t="shared" si="84"/>
        <v>0</v>
      </c>
      <c r="BG102" s="257">
        <f t="shared" si="85"/>
        <v>0</v>
      </c>
      <c r="BH102" s="257">
        <f t="shared" si="86"/>
        <v>0</v>
      </c>
      <c r="BI102" s="257">
        <f t="shared" si="87"/>
        <v>0</v>
      </c>
      <c r="BJ102" s="257">
        <f t="shared" si="88"/>
        <v>0</v>
      </c>
      <c r="BK102" s="257">
        <f t="shared" si="89"/>
        <v>0</v>
      </c>
      <c r="BL102" s="257">
        <f t="shared" si="90"/>
        <v>0</v>
      </c>
      <c r="BM102" s="257">
        <f t="shared" si="91"/>
        <v>0</v>
      </c>
      <c r="BN102" s="257">
        <f t="shared" si="92"/>
        <v>0</v>
      </c>
      <c r="BO102" s="257">
        <f t="shared" si="39"/>
        <v>0</v>
      </c>
      <c r="BP102" s="257" t="str">
        <f t="shared" si="40"/>
        <v/>
      </c>
      <c r="BQ102" t="str">
        <f>IF(AND(CC102=""),"",IF(CC102=0,"",1+(MAX(BQ$59:BQ101))))</f>
        <v/>
      </c>
      <c r="BR102" s="256">
        <v>44</v>
      </c>
      <c r="BS102" s="253">
        <f t="shared" si="93"/>
        <v>0</v>
      </c>
      <c r="BT102" s="257">
        <f t="shared" si="94"/>
        <v>0</v>
      </c>
      <c r="BU102" s="257">
        <f t="shared" si="95"/>
        <v>0</v>
      </c>
      <c r="BV102" s="257">
        <f t="shared" si="96"/>
        <v>0</v>
      </c>
      <c r="BW102" s="257">
        <f t="shared" si="97"/>
        <v>0</v>
      </c>
      <c r="BX102" s="257">
        <f t="shared" si="98"/>
        <v>0</v>
      </c>
      <c r="BY102" s="257">
        <f t="shared" si="99"/>
        <v>0</v>
      </c>
      <c r="BZ102" s="257">
        <f t="shared" si="100"/>
        <v>0</v>
      </c>
      <c r="CA102" s="257">
        <f t="shared" si="101"/>
        <v>0</v>
      </c>
      <c r="CB102" s="257">
        <f t="shared" si="50"/>
        <v>0</v>
      </c>
      <c r="CC102" s="257" t="str">
        <f t="shared" si="83"/>
        <v/>
      </c>
      <c r="CD102" t="str">
        <f>IF(AND(CP102=""),"",IF(CP102=0,"",1+(MAX(CD$59:CD101))))</f>
        <v/>
      </c>
      <c r="CE102" s="135">
        <v>44</v>
      </c>
      <c r="CF102" s="253">
        <f t="shared" si="51"/>
        <v>0</v>
      </c>
      <c r="CG102" s="257">
        <f t="shared" si="52"/>
        <v>0</v>
      </c>
      <c r="CH102" s="257">
        <f t="shared" si="53"/>
        <v>0</v>
      </c>
      <c r="CI102" s="257">
        <f t="shared" si="54"/>
        <v>0</v>
      </c>
      <c r="CJ102" s="257">
        <f t="shared" si="55"/>
        <v>0</v>
      </c>
      <c r="CK102" s="257">
        <f t="shared" si="56"/>
        <v>0</v>
      </c>
      <c r="CL102" s="257">
        <f t="shared" si="57"/>
        <v>0</v>
      </c>
      <c r="CM102" s="257">
        <f t="shared" si="58"/>
        <v>0</v>
      </c>
      <c r="CN102" s="257">
        <f t="shared" si="59"/>
        <v>0</v>
      </c>
      <c r="CO102" s="257">
        <f t="shared" si="60"/>
        <v>0</v>
      </c>
      <c r="CP102" s="257" t="str">
        <f t="shared" si="61"/>
        <v/>
      </c>
      <c r="CQ102" t="str">
        <f>IF(AND(DC102=""),"",IF(DC102=0,"",1+(MAX(CQ$59:CQ101))))</f>
        <v/>
      </c>
      <c r="CR102" s="256">
        <v>44</v>
      </c>
      <c r="CS102" s="253">
        <f t="shared" si="62"/>
        <v>0</v>
      </c>
      <c r="CT102" s="257">
        <f t="shared" si="63"/>
        <v>0</v>
      </c>
      <c r="CU102" s="257">
        <f t="shared" si="64"/>
        <v>0</v>
      </c>
      <c r="CV102" s="257">
        <f t="shared" si="65"/>
        <v>0</v>
      </c>
      <c r="CW102" s="257">
        <f t="shared" si="66"/>
        <v>0</v>
      </c>
      <c r="CX102" s="257">
        <f t="shared" si="67"/>
        <v>0</v>
      </c>
      <c r="CY102" s="257">
        <f t="shared" si="68"/>
        <v>0</v>
      </c>
      <c r="CZ102" s="257">
        <f t="shared" si="69"/>
        <v>0</v>
      </c>
      <c r="DA102" s="257">
        <f t="shared" si="70"/>
        <v>0</v>
      </c>
      <c r="DB102" s="257">
        <f t="shared" si="71"/>
        <v>0</v>
      </c>
      <c r="DC102" s="257" t="str">
        <f t="shared" si="72"/>
        <v/>
      </c>
    </row>
    <row r="103" spans="1:107" ht="20.25">
      <c r="A103" s="36">
        <v>45</v>
      </c>
      <c r="B103" s="62"/>
      <c r="C103" s="63"/>
      <c r="D103" s="64"/>
      <c r="E103" s="217"/>
      <c r="F103" s="217"/>
      <c r="G103" s="218"/>
      <c r="H103" s="65"/>
      <c r="I103" s="65"/>
      <c r="J103" s="65"/>
      <c r="K103" s="66"/>
      <c r="L103" s="75"/>
      <c r="M103" s="75"/>
      <c r="N103" s="75"/>
      <c r="AB103" t="str">
        <f t="shared" si="14"/>
        <v/>
      </c>
      <c r="AC103">
        <f t="shared" si="15"/>
        <v>1</v>
      </c>
      <c r="AD103" t="str">
        <f>IF(AND(AP103=""),"",IF(AP103=0,"",1+(MAX(AD$59:AD102))))</f>
        <v/>
      </c>
      <c r="AE103" s="135">
        <v>45</v>
      </c>
      <c r="AF103" s="253">
        <f t="shared" si="16"/>
        <v>0</v>
      </c>
      <c r="AG103" s="257">
        <f t="shared" si="17"/>
        <v>0</v>
      </c>
      <c r="AH103" s="257">
        <f t="shared" si="18"/>
        <v>0</v>
      </c>
      <c r="AI103" s="257">
        <f t="shared" si="19"/>
        <v>0</v>
      </c>
      <c r="AJ103" s="257">
        <f t="shared" si="20"/>
        <v>0</v>
      </c>
      <c r="AK103" s="257">
        <f t="shared" si="21"/>
        <v>0</v>
      </c>
      <c r="AL103" s="257">
        <f t="shared" si="22"/>
        <v>0</v>
      </c>
      <c r="AM103" s="257">
        <f t="shared" si="23"/>
        <v>0</v>
      </c>
      <c r="AN103" s="257">
        <f t="shared" si="24"/>
        <v>0</v>
      </c>
      <c r="AO103" s="257">
        <f t="shared" si="25"/>
        <v>0</v>
      </c>
      <c r="AP103" s="257" t="str">
        <f t="shared" si="26"/>
        <v/>
      </c>
      <c r="AQ103" t="str">
        <f>IF(AND(BC103=""),"",IF(BC103=0,"",1+(MAX(AQ$59:AQ102))))</f>
        <v/>
      </c>
      <c r="AR103" s="256">
        <v>45</v>
      </c>
      <c r="AS103" s="253">
        <f t="shared" si="73"/>
        <v>0</v>
      </c>
      <c r="AT103" s="254">
        <f t="shared" si="74"/>
        <v>0</v>
      </c>
      <c r="AU103" s="254">
        <f t="shared" si="75"/>
        <v>0</v>
      </c>
      <c r="AV103" s="254">
        <f t="shared" si="76"/>
        <v>0</v>
      </c>
      <c r="AW103" s="254">
        <f t="shared" si="77"/>
        <v>0</v>
      </c>
      <c r="AX103" s="254">
        <f t="shared" si="78"/>
        <v>0</v>
      </c>
      <c r="AY103" s="254">
        <f t="shared" si="79"/>
        <v>0</v>
      </c>
      <c r="AZ103" s="254">
        <f t="shared" si="80"/>
        <v>0</v>
      </c>
      <c r="BA103" s="254">
        <f t="shared" si="81"/>
        <v>0</v>
      </c>
      <c r="BB103" s="254">
        <f t="shared" si="28"/>
        <v>0</v>
      </c>
      <c r="BC103" s="257" t="str">
        <f t="shared" si="29"/>
        <v/>
      </c>
      <c r="BD103" t="str">
        <f>IF(AND(BP103=""),"",IF(BP103=0,"",1+(MAX(BD$59:BD102))))</f>
        <v/>
      </c>
      <c r="BE103" s="135">
        <v>45</v>
      </c>
      <c r="BF103" s="253">
        <f t="shared" si="84"/>
        <v>0</v>
      </c>
      <c r="BG103" s="257">
        <f t="shared" si="85"/>
        <v>0</v>
      </c>
      <c r="BH103" s="257">
        <f t="shared" si="86"/>
        <v>0</v>
      </c>
      <c r="BI103" s="257">
        <f t="shared" si="87"/>
        <v>0</v>
      </c>
      <c r="BJ103" s="257">
        <f t="shared" si="88"/>
        <v>0</v>
      </c>
      <c r="BK103" s="257">
        <f t="shared" si="89"/>
        <v>0</v>
      </c>
      <c r="BL103" s="257">
        <f t="shared" si="90"/>
        <v>0</v>
      </c>
      <c r="BM103" s="257">
        <f t="shared" si="91"/>
        <v>0</v>
      </c>
      <c r="BN103" s="257">
        <f t="shared" si="92"/>
        <v>0</v>
      </c>
      <c r="BO103" s="257">
        <f t="shared" si="39"/>
        <v>0</v>
      </c>
      <c r="BP103" s="257" t="str">
        <f t="shared" si="40"/>
        <v/>
      </c>
      <c r="BQ103" t="str">
        <f>IF(AND(CC103=""),"",IF(CC103=0,"",1+(MAX(BQ$59:BQ102))))</f>
        <v/>
      </c>
      <c r="BR103" s="256">
        <v>45</v>
      </c>
      <c r="BS103" s="253">
        <f t="shared" si="93"/>
        <v>0</v>
      </c>
      <c r="BT103" s="257">
        <f t="shared" si="94"/>
        <v>0</v>
      </c>
      <c r="BU103" s="257">
        <f t="shared" si="95"/>
        <v>0</v>
      </c>
      <c r="BV103" s="257">
        <f t="shared" si="96"/>
        <v>0</v>
      </c>
      <c r="BW103" s="257">
        <f t="shared" si="97"/>
        <v>0</v>
      </c>
      <c r="BX103" s="257">
        <f t="shared" si="98"/>
        <v>0</v>
      </c>
      <c r="BY103" s="257">
        <f t="shared" si="99"/>
        <v>0</v>
      </c>
      <c r="BZ103" s="257">
        <f t="shared" si="100"/>
        <v>0</v>
      </c>
      <c r="CA103" s="257">
        <f t="shared" si="101"/>
        <v>0</v>
      </c>
      <c r="CB103" s="257">
        <f t="shared" si="50"/>
        <v>0</v>
      </c>
      <c r="CC103" s="257" t="str">
        <f t="shared" si="83"/>
        <v/>
      </c>
      <c r="CD103" t="str">
        <f>IF(AND(CP103=""),"",IF(CP103=0,"",1+(MAX(CD$59:CD102))))</f>
        <v/>
      </c>
      <c r="CE103" s="135">
        <v>45</v>
      </c>
      <c r="CF103" s="253">
        <f t="shared" si="51"/>
        <v>0</v>
      </c>
      <c r="CG103" s="257">
        <f t="shared" si="52"/>
        <v>0</v>
      </c>
      <c r="CH103" s="257">
        <f t="shared" si="53"/>
        <v>0</v>
      </c>
      <c r="CI103" s="257">
        <f t="shared" si="54"/>
        <v>0</v>
      </c>
      <c r="CJ103" s="257">
        <f t="shared" si="55"/>
        <v>0</v>
      </c>
      <c r="CK103" s="257">
        <f t="shared" si="56"/>
        <v>0</v>
      </c>
      <c r="CL103" s="257">
        <f t="shared" si="57"/>
        <v>0</v>
      </c>
      <c r="CM103" s="257">
        <f t="shared" si="58"/>
        <v>0</v>
      </c>
      <c r="CN103" s="257">
        <f t="shared" si="59"/>
        <v>0</v>
      </c>
      <c r="CO103" s="257">
        <f t="shared" si="60"/>
        <v>0</v>
      </c>
      <c r="CP103" s="257" t="str">
        <f t="shared" si="61"/>
        <v/>
      </c>
      <c r="CQ103" t="str">
        <f>IF(AND(DC103=""),"",IF(DC103=0,"",1+(MAX(CQ$59:CQ102))))</f>
        <v/>
      </c>
      <c r="CR103" s="135">
        <v>45</v>
      </c>
      <c r="CS103" s="253">
        <f t="shared" si="62"/>
        <v>0</v>
      </c>
      <c r="CT103" s="257">
        <f t="shared" si="63"/>
        <v>0</v>
      </c>
      <c r="CU103" s="257">
        <f t="shared" si="64"/>
        <v>0</v>
      </c>
      <c r="CV103" s="257">
        <f t="shared" si="65"/>
        <v>0</v>
      </c>
      <c r="CW103" s="257">
        <f t="shared" si="66"/>
        <v>0</v>
      </c>
      <c r="CX103" s="257">
        <f t="shared" si="67"/>
        <v>0</v>
      </c>
      <c r="CY103" s="257">
        <f t="shared" si="68"/>
        <v>0</v>
      </c>
      <c r="CZ103" s="257">
        <f t="shared" si="69"/>
        <v>0</v>
      </c>
      <c r="DA103" s="257">
        <f t="shared" si="70"/>
        <v>0</v>
      </c>
      <c r="DB103" s="257">
        <f t="shared" si="71"/>
        <v>0</v>
      </c>
      <c r="DC103" s="257" t="str">
        <f t="shared" si="72"/>
        <v/>
      </c>
    </row>
    <row r="104" spans="1:107" ht="20.25">
      <c r="A104" s="36">
        <v>46</v>
      </c>
      <c r="B104" s="62"/>
      <c r="C104" s="63"/>
      <c r="D104" s="64"/>
      <c r="E104" s="217"/>
      <c r="F104" s="217"/>
      <c r="G104" s="218"/>
      <c r="H104" s="65"/>
      <c r="I104" s="65"/>
      <c r="J104" s="65"/>
      <c r="K104" s="66"/>
      <c r="L104" s="75"/>
      <c r="M104" s="75"/>
      <c r="N104" s="75"/>
      <c r="AB104" t="str">
        <f t="shared" si="14"/>
        <v/>
      </c>
      <c r="AC104">
        <f t="shared" si="15"/>
        <v>1</v>
      </c>
      <c r="AD104" t="str">
        <f>IF(AND(AP104=""),"",IF(AP104=0,"",1+(MAX(AD$59:AD103))))</f>
        <v/>
      </c>
      <c r="AE104" s="135">
        <v>46</v>
      </c>
      <c r="AF104" s="253">
        <f t="shared" si="16"/>
        <v>0</v>
      </c>
      <c r="AG104" s="257">
        <f t="shared" si="17"/>
        <v>0</v>
      </c>
      <c r="AH104" s="257">
        <f t="shared" si="18"/>
        <v>0</v>
      </c>
      <c r="AI104" s="257">
        <f t="shared" si="19"/>
        <v>0</v>
      </c>
      <c r="AJ104" s="257">
        <f t="shared" si="20"/>
        <v>0</v>
      </c>
      <c r="AK104" s="257">
        <f t="shared" si="21"/>
        <v>0</v>
      </c>
      <c r="AL104" s="257">
        <f t="shared" si="22"/>
        <v>0</v>
      </c>
      <c r="AM104" s="257">
        <f t="shared" si="23"/>
        <v>0</v>
      </c>
      <c r="AN104" s="257">
        <f t="shared" si="24"/>
        <v>0</v>
      </c>
      <c r="AO104" s="257">
        <f t="shared" si="25"/>
        <v>0</v>
      </c>
      <c r="AP104" s="257" t="str">
        <f t="shared" si="26"/>
        <v/>
      </c>
      <c r="AQ104" t="str">
        <f>IF(AND(BC104=""),"",IF(BC104=0,"",1+(MAX(AQ$59:AQ103))))</f>
        <v/>
      </c>
      <c r="AR104" s="256">
        <v>46</v>
      </c>
      <c r="AS104" s="253">
        <f t="shared" si="73"/>
        <v>0</v>
      </c>
      <c r="AT104" s="254">
        <f t="shared" si="74"/>
        <v>0</v>
      </c>
      <c r="AU104" s="254">
        <f t="shared" si="75"/>
        <v>0</v>
      </c>
      <c r="AV104" s="254">
        <f t="shared" si="76"/>
        <v>0</v>
      </c>
      <c r="AW104" s="254">
        <f t="shared" si="77"/>
        <v>0</v>
      </c>
      <c r="AX104" s="254">
        <f t="shared" si="78"/>
        <v>0</v>
      </c>
      <c r="AY104" s="254">
        <f t="shared" si="79"/>
        <v>0</v>
      </c>
      <c r="AZ104" s="254">
        <f t="shared" si="80"/>
        <v>0</v>
      </c>
      <c r="BA104" s="254">
        <f t="shared" si="81"/>
        <v>0</v>
      </c>
      <c r="BB104" s="254">
        <f t="shared" si="28"/>
        <v>0</v>
      </c>
      <c r="BC104" s="257" t="str">
        <f t="shared" si="29"/>
        <v/>
      </c>
      <c r="BD104" t="str">
        <f>IF(AND(BP104=""),"",IF(BP104=0,"",1+(MAX(BD$59:BD103))))</f>
        <v/>
      </c>
      <c r="BE104" s="135">
        <v>46</v>
      </c>
      <c r="BF104" s="253">
        <f t="shared" si="84"/>
        <v>0</v>
      </c>
      <c r="BG104" s="257">
        <f t="shared" si="85"/>
        <v>0</v>
      </c>
      <c r="BH104" s="257">
        <f t="shared" si="86"/>
        <v>0</v>
      </c>
      <c r="BI104" s="257">
        <f t="shared" si="87"/>
        <v>0</v>
      </c>
      <c r="BJ104" s="257">
        <f t="shared" si="88"/>
        <v>0</v>
      </c>
      <c r="BK104" s="257">
        <f t="shared" si="89"/>
        <v>0</v>
      </c>
      <c r="BL104" s="257">
        <f t="shared" si="90"/>
        <v>0</v>
      </c>
      <c r="BM104" s="257">
        <f t="shared" si="91"/>
        <v>0</v>
      </c>
      <c r="BN104" s="257">
        <f t="shared" si="92"/>
        <v>0</v>
      </c>
      <c r="BO104" s="257">
        <f t="shared" si="39"/>
        <v>0</v>
      </c>
      <c r="BP104" s="257" t="str">
        <f t="shared" si="40"/>
        <v/>
      </c>
      <c r="BQ104" t="str">
        <f>IF(AND(CC104=""),"",IF(CC104=0,"",1+(MAX(BQ$59:BQ103))))</f>
        <v/>
      </c>
      <c r="BR104" s="256">
        <v>46</v>
      </c>
      <c r="BS104" s="253">
        <f t="shared" si="93"/>
        <v>0</v>
      </c>
      <c r="BT104" s="257">
        <f t="shared" si="94"/>
        <v>0</v>
      </c>
      <c r="BU104" s="257">
        <f t="shared" si="95"/>
        <v>0</v>
      </c>
      <c r="BV104" s="257">
        <f t="shared" si="96"/>
        <v>0</v>
      </c>
      <c r="BW104" s="257">
        <f t="shared" si="97"/>
        <v>0</v>
      </c>
      <c r="BX104" s="257">
        <f t="shared" si="98"/>
        <v>0</v>
      </c>
      <c r="BY104" s="257">
        <f t="shared" si="99"/>
        <v>0</v>
      </c>
      <c r="BZ104" s="257">
        <f t="shared" si="100"/>
        <v>0</v>
      </c>
      <c r="CA104" s="257">
        <f t="shared" si="101"/>
        <v>0</v>
      </c>
      <c r="CB104" s="257">
        <f t="shared" si="50"/>
        <v>0</v>
      </c>
      <c r="CC104" s="257" t="str">
        <f t="shared" si="83"/>
        <v/>
      </c>
      <c r="CD104" t="str">
        <f>IF(AND(CP104=""),"",IF(CP104=0,"",1+(MAX(CD$59:CD103))))</f>
        <v/>
      </c>
      <c r="CE104" s="135">
        <v>46</v>
      </c>
      <c r="CF104" s="253">
        <f t="shared" si="51"/>
        <v>0</v>
      </c>
      <c r="CG104" s="257">
        <f t="shared" si="52"/>
        <v>0</v>
      </c>
      <c r="CH104" s="257">
        <f t="shared" si="53"/>
        <v>0</v>
      </c>
      <c r="CI104" s="257">
        <f t="shared" si="54"/>
        <v>0</v>
      </c>
      <c r="CJ104" s="257">
        <f t="shared" si="55"/>
        <v>0</v>
      </c>
      <c r="CK104" s="257">
        <f t="shared" si="56"/>
        <v>0</v>
      </c>
      <c r="CL104" s="257">
        <f t="shared" si="57"/>
        <v>0</v>
      </c>
      <c r="CM104" s="257">
        <f t="shared" si="58"/>
        <v>0</v>
      </c>
      <c r="CN104" s="257">
        <f t="shared" si="59"/>
        <v>0</v>
      </c>
      <c r="CO104" s="257">
        <f t="shared" si="60"/>
        <v>0</v>
      </c>
      <c r="CP104" s="257" t="str">
        <f t="shared" si="61"/>
        <v/>
      </c>
      <c r="CQ104" t="str">
        <f>IF(AND(DC104=""),"",IF(DC104=0,"",1+(MAX(CQ$59:CQ103))))</f>
        <v/>
      </c>
      <c r="CR104" s="256">
        <v>46</v>
      </c>
      <c r="CS104" s="253">
        <f t="shared" si="62"/>
        <v>0</v>
      </c>
      <c r="CT104" s="257">
        <f t="shared" si="63"/>
        <v>0</v>
      </c>
      <c r="CU104" s="257">
        <f t="shared" si="64"/>
        <v>0</v>
      </c>
      <c r="CV104" s="257">
        <f t="shared" si="65"/>
        <v>0</v>
      </c>
      <c r="CW104" s="257">
        <f t="shared" si="66"/>
        <v>0</v>
      </c>
      <c r="CX104" s="257">
        <f t="shared" si="67"/>
        <v>0</v>
      </c>
      <c r="CY104" s="257">
        <f t="shared" si="68"/>
        <v>0</v>
      </c>
      <c r="CZ104" s="257">
        <f t="shared" si="69"/>
        <v>0</v>
      </c>
      <c r="DA104" s="257">
        <f t="shared" si="70"/>
        <v>0</v>
      </c>
      <c r="DB104" s="257">
        <f t="shared" si="71"/>
        <v>0</v>
      </c>
      <c r="DC104" s="257" t="str">
        <f t="shared" si="72"/>
        <v/>
      </c>
    </row>
    <row r="105" spans="1:107" ht="20.25">
      <c r="A105" s="36">
        <v>47</v>
      </c>
      <c r="B105" s="62"/>
      <c r="C105" s="63"/>
      <c r="D105" s="64"/>
      <c r="E105" s="217"/>
      <c r="F105" s="217"/>
      <c r="G105" s="218"/>
      <c r="H105" s="65"/>
      <c r="I105" s="65"/>
      <c r="J105" s="65"/>
      <c r="K105" s="66"/>
      <c r="L105" s="75"/>
      <c r="M105" s="75"/>
      <c r="N105" s="75"/>
      <c r="AB105" t="str">
        <f t="shared" si="14"/>
        <v/>
      </c>
      <c r="AC105">
        <f t="shared" si="15"/>
        <v>1</v>
      </c>
      <c r="AD105" t="str">
        <f>IF(AND(AP105=""),"",IF(AP105=0,"",1+(MAX(AD$59:AD104))))</f>
        <v/>
      </c>
      <c r="AE105" s="135">
        <v>47</v>
      </c>
      <c r="AF105" s="253">
        <f t="shared" si="16"/>
        <v>0</v>
      </c>
      <c r="AG105" s="257">
        <f t="shared" si="17"/>
        <v>0</v>
      </c>
      <c r="AH105" s="257">
        <f t="shared" si="18"/>
        <v>0</v>
      </c>
      <c r="AI105" s="257">
        <f t="shared" si="19"/>
        <v>0</v>
      </c>
      <c r="AJ105" s="257">
        <f t="shared" si="20"/>
        <v>0</v>
      </c>
      <c r="AK105" s="257">
        <f t="shared" si="21"/>
        <v>0</v>
      </c>
      <c r="AL105" s="257">
        <f t="shared" si="22"/>
        <v>0</v>
      </c>
      <c r="AM105" s="257">
        <f t="shared" si="23"/>
        <v>0</v>
      </c>
      <c r="AN105" s="257">
        <f t="shared" si="24"/>
        <v>0</v>
      </c>
      <c r="AO105" s="257">
        <f t="shared" si="25"/>
        <v>0</v>
      </c>
      <c r="AP105" s="257" t="str">
        <f t="shared" si="26"/>
        <v/>
      </c>
      <c r="AQ105" t="str">
        <f>IF(AND(BC105=""),"",IF(BC105=0,"",1+(MAX(AQ$59:AQ104))))</f>
        <v/>
      </c>
      <c r="AR105" s="256">
        <v>47</v>
      </c>
      <c r="AS105" s="253">
        <f t="shared" si="73"/>
        <v>0</v>
      </c>
      <c r="AT105" s="254">
        <f t="shared" si="74"/>
        <v>0</v>
      </c>
      <c r="AU105" s="254">
        <f t="shared" si="75"/>
        <v>0</v>
      </c>
      <c r="AV105" s="254">
        <f t="shared" si="76"/>
        <v>0</v>
      </c>
      <c r="AW105" s="254">
        <f t="shared" si="77"/>
        <v>0</v>
      </c>
      <c r="AX105" s="254">
        <f t="shared" si="78"/>
        <v>0</v>
      </c>
      <c r="AY105" s="254">
        <f t="shared" si="79"/>
        <v>0</v>
      </c>
      <c r="AZ105" s="254">
        <f t="shared" si="80"/>
        <v>0</v>
      </c>
      <c r="BA105" s="254">
        <f t="shared" si="81"/>
        <v>0</v>
      </c>
      <c r="BB105" s="254">
        <f t="shared" si="28"/>
        <v>0</v>
      </c>
      <c r="BC105" s="257" t="str">
        <f t="shared" si="29"/>
        <v/>
      </c>
      <c r="BD105" t="str">
        <f>IF(AND(BP105=""),"",IF(BP105=0,"",1+(MAX(BD$59:BD104))))</f>
        <v/>
      </c>
      <c r="BE105" s="135">
        <v>47</v>
      </c>
      <c r="BF105" s="253">
        <f t="shared" si="84"/>
        <v>0</v>
      </c>
      <c r="BG105" s="257">
        <f t="shared" si="85"/>
        <v>0</v>
      </c>
      <c r="BH105" s="257">
        <f t="shared" si="86"/>
        <v>0</v>
      </c>
      <c r="BI105" s="257">
        <f t="shared" si="87"/>
        <v>0</v>
      </c>
      <c r="BJ105" s="257">
        <f t="shared" si="88"/>
        <v>0</v>
      </c>
      <c r="BK105" s="257">
        <f t="shared" si="89"/>
        <v>0</v>
      </c>
      <c r="BL105" s="257">
        <f t="shared" si="90"/>
        <v>0</v>
      </c>
      <c r="BM105" s="257">
        <f t="shared" si="91"/>
        <v>0</v>
      </c>
      <c r="BN105" s="257">
        <f t="shared" si="92"/>
        <v>0</v>
      </c>
      <c r="BO105" s="257">
        <f t="shared" si="39"/>
        <v>0</v>
      </c>
      <c r="BP105" s="257" t="str">
        <f t="shared" si="40"/>
        <v/>
      </c>
      <c r="BQ105" t="str">
        <f>IF(AND(CC105=""),"",IF(CC105=0,"",1+(MAX(BQ$59:BQ104))))</f>
        <v/>
      </c>
      <c r="BR105" s="256">
        <v>47</v>
      </c>
      <c r="BS105" s="253">
        <f t="shared" si="93"/>
        <v>0</v>
      </c>
      <c r="BT105" s="257">
        <f t="shared" si="94"/>
        <v>0</v>
      </c>
      <c r="BU105" s="257">
        <f t="shared" si="95"/>
        <v>0</v>
      </c>
      <c r="BV105" s="257">
        <f t="shared" si="96"/>
        <v>0</v>
      </c>
      <c r="BW105" s="257">
        <f t="shared" si="97"/>
        <v>0</v>
      </c>
      <c r="BX105" s="257">
        <f t="shared" si="98"/>
        <v>0</v>
      </c>
      <c r="BY105" s="257">
        <f t="shared" si="99"/>
        <v>0</v>
      </c>
      <c r="BZ105" s="257">
        <f t="shared" si="100"/>
        <v>0</v>
      </c>
      <c r="CA105" s="257">
        <f t="shared" si="101"/>
        <v>0</v>
      </c>
      <c r="CB105" s="257">
        <f t="shared" si="50"/>
        <v>0</v>
      </c>
      <c r="CC105" s="257" t="str">
        <f t="shared" si="83"/>
        <v/>
      </c>
      <c r="CD105" t="str">
        <f>IF(AND(CP105=""),"",IF(CP105=0,"",1+(MAX(CD$59:CD104))))</f>
        <v/>
      </c>
      <c r="CE105" s="135">
        <v>47</v>
      </c>
      <c r="CF105" s="253">
        <f t="shared" si="51"/>
        <v>0</v>
      </c>
      <c r="CG105" s="257">
        <f t="shared" si="52"/>
        <v>0</v>
      </c>
      <c r="CH105" s="257">
        <f t="shared" si="53"/>
        <v>0</v>
      </c>
      <c r="CI105" s="257">
        <f t="shared" si="54"/>
        <v>0</v>
      </c>
      <c r="CJ105" s="257">
        <f t="shared" si="55"/>
        <v>0</v>
      </c>
      <c r="CK105" s="257">
        <f t="shared" si="56"/>
        <v>0</v>
      </c>
      <c r="CL105" s="257">
        <f t="shared" si="57"/>
        <v>0</v>
      </c>
      <c r="CM105" s="257">
        <f t="shared" si="58"/>
        <v>0</v>
      </c>
      <c r="CN105" s="257">
        <f t="shared" si="59"/>
        <v>0</v>
      </c>
      <c r="CO105" s="257">
        <f t="shared" si="60"/>
        <v>0</v>
      </c>
      <c r="CP105" s="257" t="str">
        <f t="shared" si="61"/>
        <v/>
      </c>
      <c r="CQ105" t="str">
        <f>IF(AND(DC105=""),"",IF(DC105=0,"",1+(MAX(CQ$59:CQ104))))</f>
        <v/>
      </c>
      <c r="CR105" s="135">
        <v>47</v>
      </c>
      <c r="CS105" s="253">
        <f t="shared" si="62"/>
        <v>0</v>
      </c>
      <c r="CT105" s="257">
        <f t="shared" si="63"/>
        <v>0</v>
      </c>
      <c r="CU105" s="257">
        <f t="shared" si="64"/>
        <v>0</v>
      </c>
      <c r="CV105" s="257">
        <f t="shared" si="65"/>
        <v>0</v>
      </c>
      <c r="CW105" s="257">
        <f t="shared" si="66"/>
        <v>0</v>
      </c>
      <c r="CX105" s="257">
        <f t="shared" si="67"/>
        <v>0</v>
      </c>
      <c r="CY105" s="257">
        <f t="shared" si="68"/>
        <v>0</v>
      </c>
      <c r="CZ105" s="257">
        <f t="shared" si="69"/>
        <v>0</v>
      </c>
      <c r="DA105" s="257">
        <f t="shared" si="70"/>
        <v>0</v>
      </c>
      <c r="DB105" s="257">
        <f t="shared" si="71"/>
        <v>0</v>
      </c>
      <c r="DC105" s="257" t="str">
        <f t="shared" si="72"/>
        <v/>
      </c>
    </row>
    <row r="106" spans="1:107" ht="20.25">
      <c r="A106" s="36">
        <v>48</v>
      </c>
      <c r="B106" s="62"/>
      <c r="C106" s="63"/>
      <c r="D106" s="64"/>
      <c r="E106" s="217"/>
      <c r="F106" s="217"/>
      <c r="G106" s="218"/>
      <c r="H106" s="65"/>
      <c r="I106" s="65"/>
      <c r="J106" s="65"/>
      <c r="K106" s="66"/>
      <c r="L106" s="75"/>
      <c r="M106" s="75"/>
      <c r="N106" s="75"/>
      <c r="AB106" t="str">
        <f t="shared" si="14"/>
        <v/>
      </c>
      <c r="AC106">
        <f t="shared" si="15"/>
        <v>1</v>
      </c>
      <c r="AD106" t="str">
        <f>IF(AND(AP106=""),"",IF(AP106=0,"",1+(MAX(AD$59:AD105))))</f>
        <v/>
      </c>
      <c r="AE106" s="135">
        <v>48</v>
      </c>
      <c r="AF106" s="253">
        <f t="shared" si="16"/>
        <v>0</v>
      </c>
      <c r="AG106" s="257">
        <f t="shared" si="17"/>
        <v>0</v>
      </c>
      <c r="AH106" s="257">
        <f t="shared" si="18"/>
        <v>0</v>
      </c>
      <c r="AI106" s="257">
        <f t="shared" si="19"/>
        <v>0</v>
      </c>
      <c r="AJ106" s="257">
        <f t="shared" si="20"/>
        <v>0</v>
      </c>
      <c r="AK106" s="257">
        <f t="shared" si="21"/>
        <v>0</v>
      </c>
      <c r="AL106" s="257">
        <f t="shared" si="22"/>
        <v>0</v>
      </c>
      <c r="AM106" s="257">
        <f t="shared" si="23"/>
        <v>0</v>
      </c>
      <c r="AN106" s="257">
        <f t="shared" si="24"/>
        <v>0</v>
      </c>
      <c r="AO106" s="257">
        <f t="shared" si="25"/>
        <v>0</v>
      </c>
      <c r="AP106" s="257" t="str">
        <f t="shared" si="26"/>
        <v/>
      </c>
      <c r="AQ106" t="str">
        <f>IF(AND(BC106=""),"",IF(BC106=0,"",1+(MAX(AQ$59:AQ105))))</f>
        <v/>
      </c>
      <c r="AR106" s="256">
        <v>48</v>
      </c>
      <c r="AS106" s="253">
        <f t="shared" si="73"/>
        <v>0</v>
      </c>
      <c r="AT106" s="254">
        <f t="shared" si="74"/>
        <v>0</v>
      </c>
      <c r="AU106" s="254">
        <f t="shared" si="75"/>
        <v>0</v>
      </c>
      <c r="AV106" s="254">
        <f t="shared" si="76"/>
        <v>0</v>
      </c>
      <c r="AW106" s="254">
        <f t="shared" si="77"/>
        <v>0</v>
      </c>
      <c r="AX106" s="254">
        <f t="shared" si="78"/>
        <v>0</v>
      </c>
      <c r="AY106" s="254">
        <f t="shared" si="79"/>
        <v>0</v>
      </c>
      <c r="AZ106" s="254">
        <f t="shared" si="80"/>
        <v>0</v>
      </c>
      <c r="BA106" s="254">
        <f t="shared" si="81"/>
        <v>0</v>
      </c>
      <c r="BB106" s="254">
        <f t="shared" si="28"/>
        <v>0</v>
      </c>
      <c r="BC106" s="257" t="str">
        <f t="shared" si="29"/>
        <v/>
      </c>
      <c r="BD106" t="str">
        <f>IF(AND(BP106=""),"",IF(BP106=0,"",1+(MAX(BD$59:BD105))))</f>
        <v/>
      </c>
      <c r="BE106" s="135">
        <v>48</v>
      </c>
      <c r="BF106" s="253">
        <f t="shared" si="84"/>
        <v>0</v>
      </c>
      <c r="BG106" s="257">
        <f t="shared" si="85"/>
        <v>0</v>
      </c>
      <c r="BH106" s="257">
        <f t="shared" si="86"/>
        <v>0</v>
      </c>
      <c r="BI106" s="257">
        <f t="shared" si="87"/>
        <v>0</v>
      </c>
      <c r="BJ106" s="257">
        <f t="shared" si="88"/>
        <v>0</v>
      </c>
      <c r="BK106" s="257">
        <f t="shared" si="89"/>
        <v>0</v>
      </c>
      <c r="BL106" s="257">
        <f t="shared" si="90"/>
        <v>0</v>
      </c>
      <c r="BM106" s="257">
        <f t="shared" si="91"/>
        <v>0</v>
      </c>
      <c r="BN106" s="257">
        <f t="shared" si="92"/>
        <v>0</v>
      </c>
      <c r="BO106" s="257">
        <f t="shared" si="39"/>
        <v>0</v>
      </c>
      <c r="BP106" s="257" t="str">
        <f t="shared" si="40"/>
        <v/>
      </c>
      <c r="BQ106" t="str">
        <f>IF(AND(CC106=""),"",IF(CC106=0,"",1+(MAX(BQ$59:BQ105))))</f>
        <v/>
      </c>
      <c r="BR106" s="256">
        <v>48</v>
      </c>
      <c r="BS106" s="253">
        <f t="shared" si="93"/>
        <v>0</v>
      </c>
      <c r="BT106" s="257">
        <f t="shared" si="94"/>
        <v>0</v>
      </c>
      <c r="BU106" s="257">
        <f t="shared" si="95"/>
        <v>0</v>
      </c>
      <c r="BV106" s="257">
        <f t="shared" si="96"/>
        <v>0</v>
      </c>
      <c r="BW106" s="257">
        <f t="shared" si="97"/>
        <v>0</v>
      </c>
      <c r="BX106" s="257">
        <f t="shared" si="98"/>
        <v>0</v>
      </c>
      <c r="BY106" s="257">
        <f t="shared" si="99"/>
        <v>0</v>
      </c>
      <c r="BZ106" s="257">
        <f t="shared" si="100"/>
        <v>0</v>
      </c>
      <c r="CA106" s="257">
        <f t="shared" si="101"/>
        <v>0</v>
      </c>
      <c r="CB106" s="257">
        <f t="shared" si="50"/>
        <v>0</v>
      </c>
      <c r="CC106" s="257" t="str">
        <f t="shared" si="83"/>
        <v/>
      </c>
      <c r="CD106" t="str">
        <f>IF(AND(CP106=""),"",IF(CP106=0,"",1+(MAX(CD$59:CD105))))</f>
        <v/>
      </c>
      <c r="CE106" s="135">
        <v>48</v>
      </c>
      <c r="CF106" s="253">
        <f t="shared" si="51"/>
        <v>0</v>
      </c>
      <c r="CG106" s="257">
        <f t="shared" si="52"/>
        <v>0</v>
      </c>
      <c r="CH106" s="257">
        <f t="shared" si="53"/>
        <v>0</v>
      </c>
      <c r="CI106" s="257">
        <f t="shared" si="54"/>
        <v>0</v>
      </c>
      <c r="CJ106" s="257">
        <f t="shared" si="55"/>
        <v>0</v>
      </c>
      <c r="CK106" s="257">
        <f t="shared" si="56"/>
        <v>0</v>
      </c>
      <c r="CL106" s="257">
        <f t="shared" si="57"/>
        <v>0</v>
      </c>
      <c r="CM106" s="257">
        <f t="shared" si="58"/>
        <v>0</v>
      </c>
      <c r="CN106" s="257">
        <f t="shared" si="59"/>
        <v>0</v>
      </c>
      <c r="CO106" s="257">
        <f t="shared" si="60"/>
        <v>0</v>
      </c>
      <c r="CP106" s="257" t="str">
        <f t="shared" si="61"/>
        <v/>
      </c>
      <c r="CQ106" t="str">
        <f>IF(AND(DC106=""),"",IF(DC106=0,"",1+(MAX(CQ$59:CQ105))))</f>
        <v/>
      </c>
      <c r="CR106" s="256">
        <v>48</v>
      </c>
      <c r="CS106" s="253">
        <f t="shared" si="62"/>
        <v>0</v>
      </c>
      <c r="CT106" s="257">
        <f t="shared" si="63"/>
        <v>0</v>
      </c>
      <c r="CU106" s="257">
        <f t="shared" si="64"/>
        <v>0</v>
      </c>
      <c r="CV106" s="257">
        <f t="shared" si="65"/>
        <v>0</v>
      </c>
      <c r="CW106" s="257">
        <f t="shared" si="66"/>
        <v>0</v>
      </c>
      <c r="CX106" s="257">
        <f t="shared" si="67"/>
        <v>0</v>
      </c>
      <c r="CY106" s="257">
        <f t="shared" si="68"/>
        <v>0</v>
      </c>
      <c r="CZ106" s="257">
        <f t="shared" si="69"/>
        <v>0</v>
      </c>
      <c r="DA106" s="257">
        <f t="shared" si="70"/>
        <v>0</v>
      </c>
      <c r="DB106" s="257">
        <f t="shared" si="71"/>
        <v>0</v>
      </c>
      <c r="DC106" s="257" t="str">
        <f t="shared" si="72"/>
        <v/>
      </c>
    </row>
    <row r="107" spans="1:107" ht="20.25">
      <c r="A107" s="36">
        <v>49</v>
      </c>
      <c r="B107" s="62"/>
      <c r="C107" s="63"/>
      <c r="D107" s="64"/>
      <c r="E107" s="217"/>
      <c r="F107" s="217"/>
      <c r="G107" s="218"/>
      <c r="H107" s="65"/>
      <c r="I107" s="65"/>
      <c r="J107" s="65"/>
      <c r="K107" s="66"/>
      <c r="L107" s="75"/>
      <c r="M107" s="75"/>
      <c r="N107" s="75"/>
      <c r="AB107" t="str">
        <f t="shared" si="14"/>
        <v/>
      </c>
      <c r="AC107">
        <f t="shared" si="15"/>
        <v>1</v>
      </c>
      <c r="AD107" t="str">
        <f>IF(AND(AP107=""),"",IF(AP107=0,"",1+(MAX(AD$59:AD106))))</f>
        <v/>
      </c>
      <c r="AE107" s="135">
        <v>49</v>
      </c>
      <c r="AF107" s="253">
        <f t="shared" si="16"/>
        <v>0</v>
      </c>
      <c r="AG107" s="257">
        <f t="shared" si="17"/>
        <v>0</v>
      </c>
      <c r="AH107" s="257">
        <f t="shared" si="18"/>
        <v>0</v>
      </c>
      <c r="AI107" s="257">
        <f t="shared" si="19"/>
        <v>0</v>
      </c>
      <c r="AJ107" s="257">
        <f t="shared" si="20"/>
        <v>0</v>
      </c>
      <c r="AK107" s="257">
        <f t="shared" si="21"/>
        <v>0</v>
      </c>
      <c r="AL107" s="257">
        <f t="shared" si="22"/>
        <v>0</v>
      </c>
      <c r="AM107" s="257">
        <f t="shared" si="23"/>
        <v>0</v>
      </c>
      <c r="AN107" s="257">
        <f t="shared" si="24"/>
        <v>0</v>
      </c>
      <c r="AO107" s="257">
        <f t="shared" si="25"/>
        <v>0</v>
      </c>
      <c r="AP107" s="257" t="str">
        <f t="shared" si="26"/>
        <v/>
      </c>
      <c r="AQ107" t="str">
        <f>IF(AND(BC107=""),"",IF(BC107=0,"",1+(MAX(AQ$59:AQ106))))</f>
        <v/>
      </c>
      <c r="AR107" s="256">
        <v>49</v>
      </c>
      <c r="AS107" s="253">
        <f t="shared" si="73"/>
        <v>0</v>
      </c>
      <c r="AT107" s="254">
        <f t="shared" si="74"/>
        <v>0</v>
      </c>
      <c r="AU107" s="254">
        <f t="shared" si="75"/>
        <v>0</v>
      </c>
      <c r="AV107" s="254">
        <f t="shared" si="76"/>
        <v>0</v>
      </c>
      <c r="AW107" s="254">
        <f t="shared" si="77"/>
        <v>0</v>
      </c>
      <c r="AX107" s="254">
        <f t="shared" si="78"/>
        <v>0</v>
      </c>
      <c r="AY107" s="254">
        <f t="shared" si="79"/>
        <v>0</v>
      </c>
      <c r="AZ107" s="254">
        <f t="shared" si="80"/>
        <v>0</v>
      </c>
      <c r="BA107" s="254">
        <f t="shared" si="81"/>
        <v>0</v>
      </c>
      <c r="BB107" s="254">
        <f t="shared" si="28"/>
        <v>0</v>
      </c>
      <c r="BC107" s="257" t="str">
        <f t="shared" si="29"/>
        <v/>
      </c>
      <c r="BD107" t="str">
        <f>IF(AND(BP107=""),"",IF(BP107=0,"",1+(MAX(BD$59:BD106))))</f>
        <v/>
      </c>
      <c r="BE107" s="135">
        <v>49</v>
      </c>
      <c r="BF107" s="253">
        <f t="shared" si="84"/>
        <v>0</v>
      </c>
      <c r="BG107" s="257">
        <f t="shared" si="85"/>
        <v>0</v>
      </c>
      <c r="BH107" s="257">
        <f t="shared" si="86"/>
        <v>0</v>
      </c>
      <c r="BI107" s="257">
        <f t="shared" si="87"/>
        <v>0</v>
      </c>
      <c r="BJ107" s="257">
        <f t="shared" si="88"/>
        <v>0</v>
      </c>
      <c r="BK107" s="257">
        <f t="shared" si="89"/>
        <v>0</v>
      </c>
      <c r="BL107" s="257">
        <f t="shared" si="90"/>
        <v>0</v>
      </c>
      <c r="BM107" s="257">
        <f t="shared" si="91"/>
        <v>0</v>
      </c>
      <c r="BN107" s="257">
        <f t="shared" si="92"/>
        <v>0</v>
      </c>
      <c r="BO107" s="257">
        <f t="shared" si="39"/>
        <v>0</v>
      </c>
      <c r="BP107" s="257" t="str">
        <f t="shared" si="40"/>
        <v/>
      </c>
      <c r="BQ107" t="str">
        <f>IF(AND(CC107=""),"",IF(CC107=0,"",1+(MAX(BQ$59:BQ106))))</f>
        <v/>
      </c>
      <c r="BR107" s="256">
        <v>49</v>
      </c>
      <c r="BS107" s="253">
        <f t="shared" si="93"/>
        <v>0</v>
      </c>
      <c r="BT107" s="257">
        <f t="shared" si="94"/>
        <v>0</v>
      </c>
      <c r="BU107" s="257">
        <f t="shared" si="95"/>
        <v>0</v>
      </c>
      <c r="BV107" s="257">
        <f t="shared" si="96"/>
        <v>0</v>
      </c>
      <c r="BW107" s="257">
        <f t="shared" si="97"/>
        <v>0</v>
      </c>
      <c r="BX107" s="257">
        <f t="shared" si="98"/>
        <v>0</v>
      </c>
      <c r="BY107" s="257">
        <f t="shared" si="99"/>
        <v>0</v>
      </c>
      <c r="BZ107" s="257">
        <f t="shared" si="100"/>
        <v>0</v>
      </c>
      <c r="CA107" s="257">
        <f t="shared" si="101"/>
        <v>0</v>
      </c>
      <c r="CB107" s="257">
        <f t="shared" si="50"/>
        <v>0</v>
      </c>
      <c r="CC107" s="257" t="str">
        <f t="shared" si="83"/>
        <v/>
      </c>
      <c r="CD107" t="str">
        <f>IF(AND(CP107=""),"",IF(CP107=0,"",1+(MAX(CD$59:CD106))))</f>
        <v/>
      </c>
      <c r="CE107" s="135">
        <v>49</v>
      </c>
      <c r="CF107" s="253">
        <f t="shared" si="51"/>
        <v>0</v>
      </c>
      <c r="CG107" s="257">
        <f t="shared" si="52"/>
        <v>0</v>
      </c>
      <c r="CH107" s="257">
        <f t="shared" si="53"/>
        <v>0</v>
      </c>
      <c r="CI107" s="257">
        <f t="shared" si="54"/>
        <v>0</v>
      </c>
      <c r="CJ107" s="257">
        <f t="shared" si="55"/>
        <v>0</v>
      </c>
      <c r="CK107" s="257">
        <f t="shared" si="56"/>
        <v>0</v>
      </c>
      <c r="CL107" s="257">
        <f t="shared" si="57"/>
        <v>0</v>
      </c>
      <c r="CM107" s="257">
        <f t="shared" si="58"/>
        <v>0</v>
      </c>
      <c r="CN107" s="257">
        <f t="shared" si="59"/>
        <v>0</v>
      </c>
      <c r="CO107" s="257">
        <f t="shared" si="60"/>
        <v>0</v>
      </c>
      <c r="CP107" s="257" t="str">
        <f t="shared" si="61"/>
        <v/>
      </c>
      <c r="CQ107" t="str">
        <f>IF(AND(DC107=""),"",IF(DC107=0,"",1+(MAX(CQ$59:CQ106))))</f>
        <v/>
      </c>
      <c r="CR107" s="135">
        <v>49</v>
      </c>
      <c r="CS107" s="253">
        <f t="shared" si="62"/>
        <v>0</v>
      </c>
      <c r="CT107" s="257">
        <f t="shared" si="63"/>
        <v>0</v>
      </c>
      <c r="CU107" s="257">
        <f t="shared" si="64"/>
        <v>0</v>
      </c>
      <c r="CV107" s="257">
        <f t="shared" si="65"/>
        <v>0</v>
      </c>
      <c r="CW107" s="257">
        <f t="shared" si="66"/>
        <v>0</v>
      </c>
      <c r="CX107" s="257">
        <f t="shared" si="67"/>
        <v>0</v>
      </c>
      <c r="CY107" s="257">
        <f t="shared" si="68"/>
        <v>0</v>
      </c>
      <c r="CZ107" s="257">
        <f t="shared" si="69"/>
        <v>0</v>
      </c>
      <c r="DA107" s="257">
        <f t="shared" si="70"/>
        <v>0</v>
      </c>
      <c r="DB107" s="257">
        <f t="shared" si="71"/>
        <v>0</v>
      </c>
      <c r="DC107" s="257" t="str">
        <f t="shared" si="72"/>
        <v/>
      </c>
    </row>
    <row r="108" spans="1:107" ht="20.25">
      <c r="A108" s="36">
        <v>50</v>
      </c>
      <c r="B108" s="62"/>
      <c r="C108" s="63"/>
      <c r="D108" s="64"/>
      <c r="E108" s="65"/>
      <c r="F108" s="217"/>
      <c r="G108" s="218"/>
      <c r="H108" s="65"/>
      <c r="I108" s="65"/>
      <c r="J108" s="65"/>
      <c r="K108" s="66"/>
      <c r="L108" s="75"/>
      <c r="M108" s="75"/>
      <c r="N108" s="75"/>
      <c r="AB108" t="str">
        <f t="shared" si="14"/>
        <v/>
      </c>
      <c r="AD108" t="str">
        <f>IF(AND(AP108=""),"",IF(AP108=0,"",1+(MAX(AD$59:AD107))))</f>
        <v/>
      </c>
      <c r="AE108" s="135">
        <v>50</v>
      </c>
      <c r="AF108" s="253">
        <f t="shared" si="16"/>
        <v>0</v>
      </c>
      <c r="AG108" s="257">
        <f t="shared" si="17"/>
        <v>0</v>
      </c>
      <c r="AH108" s="257">
        <f t="shared" si="18"/>
        <v>0</v>
      </c>
      <c r="AI108" s="257">
        <f t="shared" si="19"/>
        <v>0</v>
      </c>
      <c r="AJ108" s="257">
        <f t="shared" si="20"/>
        <v>0</v>
      </c>
      <c r="AK108" s="257">
        <f t="shared" si="21"/>
        <v>0</v>
      </c>
      <c r="AL108" s="257">
        <f t="shared" si="22"/>
        <v>0</v>
      </c>
      <c r="AM108" s="257">
        <f t="shared" si="23"/>
        <v>0</v>
      </c>
      <c r="AN108" s="257">
        <f t="shared" si="24"/>
        <v>0</v>
      </c>
      <c r="AO108" s="257">
        <f t="shared" si="25"/>
        <v>0</v>
      </c>
      <c r="AP108" s="257" t="str">
        <f t="shared" si="26"/>
        <v/>
      </c>
      <c r="AQ108" t="str">
        <f>IF(AND(BC108=""),"",IF(BC108=0,"",1+(MAX(AQ$59:AQ107))))</f>
        <v/>
      </c>
      <c r="AR108" s="256">
        <v>50</v>
      </c>
      <c r="AS108" s="253">
        <f t="shared" si="73"/>
        <v>0</v>
      </c>
      <c r="AT108" s="254">
        <f t="shared" si="74"/>
        <v>0</v>
      </c>
      <c r="AU108" s="254">
        <f t="shared" si="75"/>
        <v>0</v>
      </c>
      <c r="AV108" s="254">
        <f t="shared" si="76"/>
        <v>0</v>
      </c>
      <c r="AW108" s="254">
        <f t="shared" si="77"/>
        <v>0</v>
      </c>
      <c r="AX108" s="254">
        <f t="shared" si="78"/>
        <v>0</v>
      </c>
      <c r="AY108" s="254">
        <f t="shared" si="79"/>
        <v>0</v>
      </c>
      <c r="AZ108" s="254">
        <f t="shared" si="80"/>
        <v>0</v>
      </c>
      <c r="BA108" s="254">
        <f t="shared" si="81"/>
        <v>0</v>
      </c>
      <c r="BB108" s="254">
        <f t="shared" si="28"/>
        <v>0</v>
      </c>
      <c r="BC108" s="257" t="str">
        <f t="shared" si="29"/>
        <v/>
      </c>
      <c r="BD108" t="str">
        <f>IF(AND(BP108=""),"",IF(BP108=0,"",1+(MAX(BD$59:BD107))))</f>
        <v/>
      </c>
      <c r="BE108" s="135">
        <v>50</v>
      </c>
      <c r="BF108" s="253">
        <f t="shared" si="84"/>
        <v>0</v>
      </c>
      <c r="BG108" s="257">
        <f t="shared" si="85"/>
        <v>0</v>
      </c>
      <c r="BH108" s="257">
        <f t="shared" si="86"/>
        <v>0</v>
      </c>
      <c r="BI108" s="257">
        <f t="shared" si="87"/>
        <v>0</v>
      </c>
      <c r="BJ108" s="257">
        <f t="shared" si="88"/>
        <v>0</v>
      </c>
      <c r="BK108" s="257">
        <f t="shared" si="89"/>
        <v>0</v>
      </c>
      <c r="BL108" s="257">
        <f t="shared" si="90"/>
        <v>0</v>
      </c>
      <c r="BM108" s="257">
        <f t="shared" si="91"/>
        <v>0</v>
      </c>
      <c r="BN108" s="257">
        <f t="shared" si="92"/>
        <v>0</v>
      </c>
      <c r="BO108" s="257">
        <f t="shared" si="39"/>
        <v>0</v>
      </c>
      <c r="BP108" s="257" t="str">
        <f t="shared" si="40"/>
        <v/>
      </c>
      <c r="BQ108" t="str">
        <f>IF(AND(CC108=""),"",IF(CC108=0,"",1+(MAX(BQ$59:BQ107))))</f>
        <v/>
      </c>
      <c r="BR108" s="256">
        <v>50</v>
      </c>
      <c r="BS108" s="253">
        <f t="shared" si="93"/>
        <v>0</v>
      </c>
      <c r="BT108" s="257">
        <f t="shared" si="94"/>
        <v>0</v>
      </c>
      <c r="BU108" s="257">
        <f t="shared" si="95"/>
        <v>0</v>
      </c>
      <c r="BV108" s="257">
        <f t="shared" si="96"/>
        <v>0</v>
      </c>
      <c r="BW108" s="257">
        <f t="shared" si="97"/>
        <v>0</v>
      </c>
      <c r="BX108" s="257">
        <f t="shared" si="98"/>
        <v>0</v>
      </c>
      <c r="BY108" s="257">
        <f t="shared" si="99"/>
        <v>0</v>
      </c>
      <c r="BZ108" s="257">
        <f t="shared" si="100"/>
        <v>0</v>
      </c>
      <c r="CA108" s="257">
        <f t="shared" si="101"/>
        <v>0</v>
      </c>
      <c r="CB108" s="257">
        <f t="shared" si="50"/>
        <v>0</v>
      </c>
      <c r="CC108" s="257" t="str">
        <f t="shared" si="83"/>
        <v/>
      </c>
      <c r="CD108" t="str">
        <f>IF(AND(CP108=""),"",IF(CP108=0,"",1+(MAX(CD$59:CD107))))</f>
        <v/>
      </c>
      <c r="CE108" s="135">
        <v>50</v>
      </c>
      <c r="CF108" s="253">
        <f t="shared" si="51"/>
        <v>0</v>
      </c>
      <c r="CG108" s="257">
        <f t="shared" si="52"/>
        <v>0</v>
      </c>
      <c r="CH108" s="257">
        <f t="shared" si="53"/>
        <v>0</v>
      </c>
      <c r="CI108" s="257">
        <f t="shared" si="54"/>
        <v>0</v>
      </c>
      <c r="CJ108" s="257">
        <f t="shared" si="55"/>
        <v>0</v>
      </c>
      <c r="CK108" s="257">
        <f t="shared" si="56"/>
        <v>0</v>
      </c>
      <c r="CL108" s="257">
        <f t="shared" si="57"/>
        <v>0</v>
      </c>
      <c r="CM108" s="257">
        <f t="shared" si="58"/>
        <v>0</v>
      </c>
      <c r="CN108" s="257">
        <f t="shared" si="59"/>
        <v>0</v>
      </c>
      <c r="CO108" s="257">
        <f t="shared" si="60"/>
        <v>0</v>
      </c>
      <c r="CP108" s="257" t="str">
        <f t="shared" si="61"/>
        <v/>
      </c>
      <c r="CQ108" t="str">
        <f>IF(AND(DC108=""),"",IF(DC108=0,"",1+(MAX(CQ$59:CQ107))))</f>
        <v/>
      </c>
      <c r="CR108" s="256">
        <v>50</v>
      </c>
      <c r="CS108" s="253">
        <f t="shared" si="62"/>
        <v>0</v>
      </c>
      <c r="CT108" s="257">
        <f t="shared" si="63"/>
        <v>0</v>
      </c>
      <c r="CU108" s="257">
        <f t="shared" si="64"/>
        <v>0</v>
      </c>
      <c r="CV108" s="257">
        <f t="shared" si="65"/>
        <v>0</v>
      </c>
      <c r="CW108" s="257">
        <f t="shared" si="66"/>
        <v>0</v>
      </c>
      <c r="CX108" s="257">
        <f t="shared" si="67"/>
        <v>0</v>
      </c>
      <c r="CY108" s="257">
        <f t="shared" si="68"/>
        <v>0</v>
      </c>
      <c r="CZ108" s="257">
        <f t="shared" si="69"/>
        <v>0</v>
      </c>
      <c r="DA108" s="257">
        <f t="shared" si="70"/>
        <v>0</v>
      </c>
      <c r="DB108" s="257">
        <f t="shared" si="71"/>
        <v>0</v>
      </c>
      <c r="DC108" s="257" t="str">
        <f t="shared" si="72"/>
        <v/>
      </c>
    </row>
    <row r="109" spans="1:107" ht="23.25">
      <c r="A109" s="530" t="s">
        <v>422</v>
      </c>
      <c r="B109" s="530"/>
      <c r="C109" s="530"/>
      <c r="D109" s="530"/>
      <c r="E109" s="530"/>
      <c r="F109" s="530"/>
      <c r="G109" s="530"/>
      <c r="H109" s="530"/>
      <c r="I109" s="530"/>
      <c r="J109" s="530"/>
      <c r="K109" s="530"/>
      <c r="L109" s="75"/>
      <c r="M109" s="75"/>
      <c r="N109" s="75"/>
      <c r="AB109" t="str">
        <f t="shared" si="14"/>
        <v/>
      </c>
      <c r="CS109" s="253">
        <f t="shared" si="62"/>
        <v>0</v>
      </c>
      <c r="CT109" s="257">
        <f t="shared" si="63"/>
        <v>0</v>
      </c>
      <c r="CU109" s="257">
        <f t="shared" si="64"/>
        <v>0</v>
      </c>
      <c r="CV109" s="257">
        <f t="shared" si="65"/>
        <v>0</v>
      </c>
      <c r="CW109" s="257">
        <f t="shared" si="66"/>
        <v>0</v>
      </c>
      <c r="CX109" s="257">
        <f t="shared" si="67"/>
        <v>0</v>
      </c>
      <c r="CY109" s="257">
        <f t="shared" si="68"/>
        <v>0</v>
      </c>
      <c r="CZ109" s="257">
        <f t="shared" si="69"/>
        <v>0</v>
      </c>
      <c r="DA109" s="257">
        <f t="shared" si="70"/>
        <v>0</v>
      </c>
      <c r="DB109" s="257">
        <f t="shared" si="71"/>
        <v>0</v>
      </c>
      <c r="DC109" s="257" t="str">
        <f t="shared" si="72"/>
        <v/>
      </c>
    </row>
    <row r="110" spans="1:107">
      <c r="A110" s="520" t="s">
        <v>8</v>
      </c>
      <c r="B110" s="520" t="s">
        <v>50</v>
      </c>
      <c r="C110" s="520" t="s">
        <v>90</v>
      </c>
      <c r="D110" s="520" t="s">
        <v>91</v>
      </c>
      <c r="E110" s="6" t="s">
        <v>92</v>
      </c>
      <c r="F110" s="6" t="s">
        <v>93</v>
      </c>
      <c r="G110" s="6" t="s">
        <v>93</v>
      </c>
      <c r="H110" s="6" t="s">
        <v>93</v>
      </c>
      <c r="I110" s="6" t="s">
        <v>93</v>
      </c>
      <c r="J110" s="6" t="s">
        <v>93</v>
      </c>
      <c r="K110" s="521" t="s">
        <v>94</v>
      </c>
      <c r="L110" s="75"/>
      <c r="M110" s="75"/>
      <c r="N110" s="75"/>
    </row>
    <row r="111" spans="1:107">
      <c r="A111" s="520"/>
      <c r="B111" s="520"/>
      <c r="C111" s="520"/>
      <c r="D111" s="520"/>
      <c r="E111" s="27">
        <v>41364</v>
      </c>
      <c r="F111" s="6" t="s">
        <v>95</v>
      </c>
      <c r="G111" s="6" t="s">
        <v>96</v>
      </c>
      <c r="H111" s="6" t="s">
        <v>97</v>
      </c>
      <c r="I111" s="6" t="s">
        <v>98</v>
      </c>
      <c r="J111" s="6" t="s">
        <v>99</v>
      </c>
      <c r="K111" s="522"/>
      <c r="L111" s="75"/>
      <c r="M111" s="75"/>
      <c r="N111" s="75"/>
    </row>
    <row r="112" spans="1:107" ht="18.75">
      <c r="A112" s="67">
        <v>1</v>
      </c>
      <c r="B112" s="68" t="str">
        <f t="shared" ref="B112:C127" si="102">B59</f>
        <v>feJhyky</v>
      </c>
      <c r="C112" s="69" t="str">
        <f t="shared" si="102"/>
        <v>PRINCIPAL</v>
      </c>
      <c r="D112" s="258" t="s">
        <v>100</v>
      </c>
      <c r="E112" s="70">
        <v>0</v>
      </c>
      <c r="F112" s="70">
        <v>0</v>
      </c>
      <c r="G112" s="70">
        <v>0</v>
      </c>
      <c r="H112" s="70">
        <v>0</v>
      </c>
      <c r="I112" s="70">
        <v>4000</v>
      </c>
      <c r="J112" s="70">
        <v>0</v>
      </c>
      <c r="K112" s="74">
        <f>SUM(E112:J112)</f>
        <v>4000</v>
      </c>
      <c r="L112" s="75"/>
      <c r="M112" s="75"/>
      <c r="N112" s="75"/>
    </row>
    <row r="113" spans="1:14" ht="18.75">
      <c r="A113" s="67">
        <v>2</v>
      </c>
      <c r="B113" s="68" t="str">
        <f t="shared" si="102"/>
        <v>lkaojey ;kno</v>
      </c>
      <c r="C113" s="69" t="str">
        <f t="shared" si="102"/>
        <v>TEACHER-I</v>
      </c>
      <c r="D113" s="258" t="s">
        <v>100</v>
      </c>
      <c r="E113" s="70">
        <v>0</v>
      </c>
      <c r="F113" s="70">
        <v>0</v>
      </c>
      <c r="G113" s="70">
        <v>0</v>
      </c>
      <c r="H113" s="70">
        <v>0</v>
      </c>
      <c r="I113" s="70">
        <v>500</v>
      </c>
      <c r="J113" s="70">
        <v>0</v>
      </c>
      <c r="K113" s="74">
        <f t="shared" ref="K113:K151" si="103">SUM(E113:J113)</f>
        <v>500</v>
      </c>
      <c r="L113" s="75"/>
      <c r="M113" s="75"/>
      <c r="N113" s="75"/>
    </row>
    <row r="114" spans="1:14" ht="18.75">
      <c r="A114" s="67">
        <v>3</v>
      </c>
      <c r="B114" s="68" t="str">
        <f t="shared" si="102"/>
        <v>dY;k.kfalg</v>
      </c>
      <c r="C114" s="69" t="str">
        <f t="shared" si="102"/>
        <v>TEACHER-I</v>
      </c>
      <c r="D114" s="258" t="s">
        <v>100</v>
      </c>
      <c r="E114" s="70">
        <v>0</v>
      </c>
      <c r="F114" s="70">
        <v>0</v>
      </c>
      <c r="G114" s="70">
        <v>0</v>
      </c>
      <c r="H114" s="70">
        <v>0</v>
      </c>
      <c r="I114" s="70">
        <v>600</v>
      </c>
      <c r="J114" s="70">
        <v>0</v>
      </c>
      <c r="K114" s="74">
        <f t="shared" si="103"/>
        <v>600</v>
      </c>
      <c r="L114" s="75"/>
      <c r="M114" s="75"/>
      <c r="N114" s="75"/>
    </row>
    <row r="115" spans="1:14" ht="18.75">
      <c r="A115" s="67">
        <v>4</v>
      </c>
      <c r="B115" s="68" t="str">
        <f t="shared" si="102"/>
        <v>Hkxokuflag</v>
      </c>
      <c r="C115" s="69" t="str">
        <f t="shared" si="102"/>
        <v>TEACHER-I</v>
      </c>
      <c r="D115" s="258" t="s">
        <v>100</v>
      </c>
      <c r="E115" s="70">
        <v>0</v>
      </c>
      <c r="F115" s="70">
        <v>0</v>
      </c>
      <c r="G115" s="70">
        <v>0</v>
      </c>
      <c r="H115" s="70">
        <v>0</v>
      </c>
      <c r="I115" s="70">
        <v>600</v>
      </c>
      <c r="J115" s="70">
        <v>0</v>
      </c>
      <c r="K115" s="74">
        <f t="shared" si="103"/>
        <v>600</v>
      </c>
      <c r="L115" s="75"/>
      <c r="M115" s="75"/>
      <c r="N115" s="75"/>
    </row>
    <row r="116" spans="1:14" ht="18.75">
      <c r="A116" s="67">
        <v>5</v>
      </c>
      <c r="B116" s="68" t="str">
        <f t="shared" si="102"/>
        <v>ghjkyky tkV</v>
      </c>
      <c r="C116" s="69" t="str">
        <f t="shared" si="102"/>
        <v>TEACHER-I</v>
      </c>
      <c r="D116" s="258" t="s">
        <v>100</v>
      </c>
      <c r="E116" s="70">
        <v>0</v>
      </c>
      <c r="F116" s="70">
        <v>0</v>
      </c>
      <c r="G116" s="70">
        <v>0</v>
      </c>
      <c r="H116" s="70">
        <v>0</v>
      </c>
      <c r="I116" s="70">
        <v>500</v>
      </c>
      <c r="J116" s="70">
        <v>0</v>
      </c>
      <c r="K116" s="74">
        <f t="shared" si="103"/>
        <v>500</v>
      </c>
      <c r="L116" s="75"/>
      <c r="M116" s="75"/>
      <c r="N116" s="75"/>
    </row>
    <row r="117" spans="1:14" ht="18.75">
      <c r="A117" s="67">
        <v>6</v>
      </c>
      <c r="B117" s="68" t="str">
        <f t="shared" si="102"/>
        <v>egsUnz iVsy</v>
      </c>
      <c r="C117" s="69" t="str">
        <f t="shared" si="102"/>
        <v>TEACHER-II</v>
      </c>
      <c r="D117" s="258" t="s">
        <v>100</v>
      </c>
      <c r="E117" s="70">
        <v>0</v>
      </c>
      <c r="F117" s="70">
        <v>0</v>
      </c>
      <c r="G117" s="70">
        <v>0</v>
      </c>
      <c r="H117" s="70">
        <v>0</v>
      </c>
      <c r="I117" s="70">
        <v>400</v>
      </c>
      <c r="J117" s="70">
        <v>0</v>
      </c>
      <c r="K117" s="74">
        <f t="shared" si="103"/>
        <v>400</v>
      </c>
      <c r="L117" s="75"/>
      <c r="M117" s="75"/>
      <c r="N117" s="75"/>
    </row>
    <row r="118" spans="1:14" ht="18.75">
      <c r="A118" s="67">
        <v>7</v>
      </c>
      <c r="B118" s="68" t="str">
        <f t="shared" si="102"/>
        <v>ekaxhyky jkaxh</v>
      </c>
      <c r="C118" s="69" t="str">
        <f t="shared" si="102"/>
        <v>TEACHER-II</v>
      </c>
      <c r="D118" s="258" t="s">
        <v>100</v>
      </c>
      <c r="E118" s="70">
        <v>0</v>
      </c>
      <c r="F118" s="70">
        <v>0</v>
      </c>
      <c r="G118" s="70">
        <v>0</v>
      </c>
      <c r="H118" s="70">
        <v>0</v>
      </c>
      <c r="I118" s="70">
        <v>800</v>
      </c>
      <c r="J118" s="70">
        <v>0</v>
      </c>
      <c r="K118" s="74">
        <f t="shared" si="103"/>
        <v>800</v>
      </c>
      <c r="L118" s="75"/>
      <c r="M118" s="75"/>
      <c r="N118" s="75"/>
    </row>
    <row r="119" spans="1:14" ht="18.75">
      <c r="A119" s="67">
        <v>8</v>
      </c>
      <c r="B119" s="68" t="str">
        <f t="shared" si="102"/>
        <v>lqeu dqekjh lSuh</v>
      </c>
      <c r="C119" s="69" t="str">
        <f t="shared" si="102"/>
        <v>TEACHER-II</v>
      </c>
      <c r="D119" s="258" t="s">
        <v>100</v>
      </c>
      <c r="E119" s="70">
        <v>0</v>
      </c>
      <c r="F119" s="70">
        <v>0</v>
      </c>
      <c r="G119" s="70">
        <v>0</v>
      </c>
      <c r="H119" s="70">
        <v>0</v>
      </c>
      <c r="I119" s="70">
        <v>500</v>
      </c>
      <c r="J119" s="70">
        <v>0</v>
      </c>
      <c r="K119" s="74">
        <f t="shared" si="103"/>
        <v>500</v>
      </c>
      <c r="L119" s="75"/>
      <c r="M119" s="75"/>
      <c r="N119" s="75"/>
    </row>
    <row r="120" spans="1:14" ht="18.75">
      <c r="A120" s="67">
        <v>9</v>
      </c>
      <c r="B120" s="68" t="str">
        <f t="shared" si="102"/>
        <v>lqjs'k dqekj vknjk</v>
      </c>
      <c r="C120" s="69" t="str">
        <f t="shared" si="102"/>
        <v>TEACHER-III</v>
      </c>
      <c r="D120" s="258" t="s">
        <v>100</v>
      </c>
      <c r="E120" s="70">
        <v>0</v>
      </c>
      <c r="F120" s="70">
        <v>0</v>
      </c>
      <c r="G120" s="70">
        <v>0</v>
      </c>
      <c r="H120" s="70">
        <v>0</v>
      </c>
      <c r="I120" s="70">
        <v>600</v>
      </c>
      <c r="J120" s="70">
        <v>0</v>
      </c>
      <c r="K120" s="74">
        <f t="shared" si="103"/>
        <v>600</v>
      </c>
      <c r="L120" s="75"/>
      <c r="M120" s="75"/>
      <c r="N120" s="75"/>
    </row>
    <row r="121" spans="1:14" ht="18.75">
      <c r="A121" s="67">
        <v>10</v>
      </c>
      <c r="B121" s="68" t="str">
        <f t="shared" si="102"/>
        <v>vtquflag</v>
      </c>
      <c r="C121" s="69" t="str">
        <f t="shared" si="102"/>
        <v>TEACHER-III</v>
      </c>
      <c r="D121" s="258" t="s">
        <v>100</v>
      </c>
      <c r="E121" s="70">
        <v>0</v>
      </c>
      <c r="F121" s="70">
        <v>0</v>
      </c>
      <c r="G121" s="70">
        <v>0</v>
      </c>
      <c r="H121" s="70">
        <v>0</v>
      </c>
      <c r="I121" s="70">
        <v>900</v>
      </c>
      <c r="J121" s="70">
        <v>0</v>
      </c>
      <c r="K121" s="74">
        <f t="shared" si="103"/>
        <v>900</v>
      </c>
      <c r="L121" s="75"/>
      <c r="M121" s="75"/>
      <c r="N121" s="75"/>
    </row>
    <row r="122" spans="1:14" ht="18.75">
      <c r="A122" s="67">
        <v>11</v>
      </c>
      <c r="B122" s="68" t="str">
        <f t="shared" si="102"/>
        <v>Hkykjke</v>
      </c>
      <c r="C122" s="69" t="str">
        <f t="shared" si="102"/>
        <v>TEACHER-III</v>
      </c>
      <c r="D122" s="258" t="s">
        <v>100</v>
      </c>
      <c r="E122" s="70">
        <v>0</v>
      </c>
      <c r="F122" s="70">
        <v>0</v>
      </c>
      <c r="G122" s="70">
        <v>0</v>
      </c>
      <c r="H122" s="70">
        <v>0</v>
      </c>
      <c r="I122" s="70">
        <v>750</v>
      </c>
      <c r="J122" s="70">
        <v>0</v>
      </c>
      <c r="K122" s="74">
        <f t="shared" si="103"/>
        <v>750</v>
      </c>
      <c r="L122" s="75"/>
      <c r="M122" s="75"/>
      <c r="N122" s="75"/>
    </row>
    <row r="123" spans="1:14" ht="18.75">
      <c r="A123" s="67">
        <v>12</v>
      </c>
      <c r="B123" s="68" t="str">
        <f t="shared" si="102"/>
        <v>yfyrdqekj</v>
      </c>
      <c r="C123" s="69" t="str">
        <f t="shared" si="102"/>
        <v>TEACHER-III</v>
      </c>
      <c r="D123" s="258" t="s">
        <v>100</v>
      </c>
      <c r="E123" s="70">
        <v>0</v>
      </c>
      <c r="F123" s="70">
        <v>0</v>
      </c>
      <c r="G123" s="70">
        <v>0</v>
      </c>
      <c r="H123" s="70">
        <v>0</v>
      </c>
      <c r="I123" s="70">
        <v>600</v>
      </c>
      <c r="J123" s="70">
        <v>0</v>
      </c>
      <c r="K123" s="74">
        <f t="shared" si="103"/>
        <v>600</v>
      </c>
      <c r="L123" s="75"/>
      <c r="M123" s="75"/>
      <c r="N123" s="75"/>
    </row>
    <row r="124" spans="1:14" ht="18.75">
      <c r="A124" s="67">
        <v>13</v>
      </c>
      <c r="B124" s="68" t="str">
        <f t="shared" si="102"/>
        <v>_f"kds'k</v>
      </c>
      <c r="C124" s="69" t="str">
        <f t="shared" si="102"/>
        <v>TEACHER-III</v>
      </c>
      <c r="D124" s="258" t="s">
        <v>100</v>
      </c>
      <c r="E124" s="70">
        <v>0</v>
      </c>
      <c r="F124" s="70">
        <v>0</v>
      </c>
      <c r="G124" s="70">
        <v>0</v>
      </c>
      <c r="H124" s="70">
        <v>0</v>
      </c>
      <c r="I124" s="70">
        <v>450</v>
      </c>
      <c r="J124" s="70">
        <v>0</v>
      </c>
      <c r="K124" s="74">
        <f t="shared" si="103"/>
        <v>450</v>
      </c>
      <c r="L124" s="75"/>
      <c r="M124" s="75"/>
      <c r="N124" s="75"/>
    </row>
    <row r="125" spans="1:14" ht="18.75">
      <c r="A125" s="67">
        <v>14</v>
      </c>
      <c r="B125" s="68" t="str">
        <f t="shared" si="102"/>
        <v>eunhiflag</v>
      </c>
      <c r="C125" s="69" t="str">
        <f t="shared" si="102"/>
        <v>PTI  III</v>
      </c>
      <c r="D125" s="258" t="s">
        <v>100</v>
      </c>
      <c r="E125" s="70">
        <v>0</v>
      </c>
      <c r="F125" s="70">
        <v>0</v>
      </c>
      <c r="G125" s="70">
        <v>0</v>
      </c>
      <c r="H125" s="70">
        <v>0</v>
      </c>
      <c r="I125" s="70">
        <v>550</v>
      </c>
      <c r="J125" s="70">
        <v>0</v>
      </c>
      <c r="K125" s="74">
        <f t="shared" si="103"/>
        <v>550</v>
      </c>
      <c r="L125" s="75"/>
      <c r="M125" s="75"/>
      <c r="N125" s="75"/>
    </row>
    <row r="126" spans="1:14" ht="18.75">
      <c r="A126" s="67">
        <v>15</v>
      </c>
      <c r="B126" s="68" t="str">
        <f t="shared" si="102"/>
        <v>vt;dqekj</v>
      </c>
      <c r="C126" s="69" t="str">
        <f t="shared" si="102"/>
        <v>PEON</v>
      </c>
      <c r="D126" s="258" t="s">
        <v>100</v>
      </c>
      <c r="E126" s="70">
        <v>0</v>
      </c>
      <c r="F126" s="70">
        <v>0</v>
      </c>
      <c r="G126" s="70">
        <v>0</v>
      </c>
      <c r="H126" s="70">
        <v>0</v>
      </c>
      <c r="I126" s="70">
        <v>650</v>
      </c>
      <c r="J126" s="70">
        <v>0</v>
      </c>
      <c r="K126" s="74">
        <f t="shared" si="103"/>
        <v>650</v>
      </c>
      <c r="L126" s="75"/>
      <c r="M126" s="75"/>
      <c r="N126" s="75"/>
    </row>
    <row r="127" spans="1:14" ht="18.75">
      <c r="A127" s="67">
        <v>16</v>
      </c>
      <c r="B127" s="68" t="str">
        <f t="shared" si="102"/>
        <v>in fjDr</v>
      </c>
      <c r="C127" s="69" t="str">
        <f t="shared" si="102"/>
        <v>LAB BOY</v>
      </c>
      <c r="D127" s="258" t="s">
        <v>100</v>
      </c>
      <c r="E127" s="70">
        <v>0</v>
      </c>
      <c r="F127" s="70">
        <v>0</v>
      </c>
      <c r="G127" s="70">
        <v>0</v>
      </c>
      <c r="H127" s="70">
        <v>0</v>
      </c>
      <c r="I127" s="70">
        <v>600</v>
      </c>
      <c r="J127" s="70">
        <v>0</v>
      </c>
      <c r="K127" s="74">
        <f t="shared" si="103"/>
        <v>600</v>
      </c>
      <c r="L127" s="75"/>
      <c r="M127" s="75"/>
      <c r="N127" s="75"/>
    </row>
    <row r="128" spans="1:14" ht="18.75">
      <c r="A128" s="67">
        <v>17</v>
      </c>
      <c r="B128" s="68"/>
      <c r="C128" s="69" t="str">
        <f t="shared" ref="C128" si="104">C75</f>
        <v>CLERK GRADE II</v>
      </c>
      <c r="D128" s="258"/>
      <c r="E128" s="70"/>
      <c r="F128" s="70"/>
      <c r="G128" s="70"/>
      <c r="H128" s="70"/>
      <c r="I128" s="70"/>
      <c r="J128" s="70"/>
      <c r="K128" s="74">
        <f t="shared" si="103"/>
        <v>0</v>
      </c>
      <c r="L128" s="75"/>
      <c r="M128" s="75"/>
      <c r="N128" s="75"/>
    </row>
    <row r="129" spans="1:14" ht="18.75">
      <c r="A129" s="67">
        <v>18</v>
      </c>
      <c r="B129" s="68"/>
      <c r="C129" s="69"/>
      <c r="D129" s="258"/>
      <c r="E129" s="70"/>
      <c r="F129" s="70"/>
      <c r="G129" s="70"/>
      <c r="H129" s="70"/>
      <c r="I129" s="70"/>
      <c r="J129" s="70"/>
      <c r="K129" s="74">
        <f t="shared" si="103"/>
        <v>0</v>
      </c>
      <c r="L129" s="75"/>
      <c r="M129" s="75"/>
      <c r="N129" s="75"/>
    </row>
    <row r="130" spans="1:14" ht="18.75">
      <c r="A130" s="67">
        <v>19</v>
      </c>
      <c r="B130" s="68"/>
      <c r="C130" s="69"/>
      <c r="D130" s="258"/>
      <c r="E130" s="70"/>
      <c r="F130" s="70"/>
      <c r="G130" s="70"/>
      <c r="H130" s="70"/>
      <c r="I130" s="70"/>
      <c r="J130" s="70"/>
      <c r="K130" s="74">
        <f t="shared" si="103"/>
        <v>0</v>
      </c>
      <c r="L130" s="75"/>
      <c r="M130" s="75"/>
      <c r="N130" s="75"/>
    </row>
    <row r="131" spans="1:14" ht="18.75">
      <c r="A131" s="67">
        <v>20</v>
      </c>
      <c r="B131" s="68"/>
      <c r="C131" s="69"/>
      <c r="D131" s="258"/>
      <c r="E131" s="70"/>
      <c r="F131" s="70"/>
      <c r="G131" s="70"/>
      <c r="H131" s="70"/>
      <c r="I131" s="70"/>
      <c r="J131" s="70"/>
      <c r="K131" s="74">
        <f t="shared" si="103"/>
        <v>0</v>
      </c>
      <c r="L131" s="75"/>
      <c r="M131" s="75"/>
      <c r="N131" s="75"/>
    </row>
    <row r="132" spans="1:14" ht="18.75">
      <c r="A132" s="67">
        <v>21</v>
      </c>
      <c r="B132" s="68"/>
      <c r="C132" s="69"/>
      <c r="D132" s="258"/>
      <c r="E132" s="70"/>
      <c r="F132" s="70"/>
      <c r="G132" s="70"/>
      <c r="H132" s="70"/>
      <c r="I132" s="70"/>
      <c r="J132" s="70"/>
      <c r="K132" s="74">
        <f t="shared" si="103"/>
        <v>0</v>
      </c>
      <c r="L132" s="75"/>
      <c r="M132" s="75"/>
      <c r="N132" s="75"/>
    </row>
    <row r="133" spans="1:14" ht="18.75">
      <c r="A133" s="67">
        <v>22</v>
      </c>
      <c r="B133" s="68"/>
      <c r="C133" s="69"/>
      <c r="D133" s="258"/>
      <c r="E133" s="70"/>
      <c r="F133" s="70"/>
      <c r="G133" s="70"/>
      <c r="H133" s="70"/>
      <c r="I133" s="70"/>
      <c r="J133" s="70"/>
      <c r="K133" s="74">
        <f t="shared" si="103"/>
        <v>0</v>
      </c>
      <c r="L133" s="75"/>
      <c r="M133" s="75"/>
      <c r="N133" s="75"/>
    </row>
    <row r="134" spans="1:14" ht="18.75">
      <c r="A134" s="67">
        <v>23</v>
      </c>
      <c r="B134" s="68"/>
      <c r="C134" s="69"/>
      <c r="D134" s="258"/>
      <c r="E134" s="70"/>
      <c r="F134" s="70"/>
      <c r="G134" s="70"/>
      <c r="H134" s="70"/>
      <c r="I134" s="70"/>
      <c r="J134" s="70"/>
      <c r="K134" s="74">
        <f t="shared" si="103"/>
        <v>0</v>
      </c>
      <c r="L134" s="75"/>
      <c r="M134" s="75"/>
      <c r="N134" s="75"/>
    </row>
    <row r="135" spans="1:14" ht="18.75">
      <c r="A135" s="67">
        <v>24</v>
      </c>
      <c r="B135" s="68"/>
      <c r="C135" s="69"/>
      <c r="D135" s="258"/>
      <c r="E135" s="70"/>
      <c r="F135" s="70"/>
      <c r="G135" s="70"/>
      <c r="H135" s="70"/>
      <c r="I135" s="70"/>
      <c r="J135" s="70"/>
      <c r="K135" s="74">
        <f t="shared" si="103"/>
        <v>0</v>
      </c>
      <c r="L135" s="75"/>
      <c r="M135" s="75"/>
      <c r="N135" s="75"/>
    </row>
    <row r="136" spans="1:14" ht="18.75">
      <c r="A136" s="67">
        <v>25</v>
      </c>
      <c r="B136" s="68"/>
      <c r="C136" s="69"/>
      <c r="D136" s="258"/>
      <c r="E136" s="70"/>
      <c r="F136" s="70"/>
      <c r="G136" s="70"/>
      <c r="H136" s="70"/>
      <c r="I136" s="70"/>
      <c r="J136" s="70"/>
      <c r="K136" s="74">
        <f t="shared" si="103"/>
        <v>0</v>
      </c>
      <c r="L136" s="75"/>
      <c r="M136" s="75"/>
      <c r="N136" s="75"/>
    </row>
    <row r="137" spans="1:14" ht="18.75">
      <c r="A137" s="67">
        <v>26</v>
      </c>
      <c r="B137" s="68"/>
      <c r="C137" s="69"/>
      <c r="D137" s="258"/>
      <c r="E137" s="70"/>
      <c r="F137" s="70"/>
      <c r="G137" s="70"/>
      <c r="H137" s="70"/>
      <c r="I137" s="70"/>
      <c r="J137" s="70"/>
      <c r="K137" s="74">
        <f t="shared" si="103"/>
        <v>0</v>
      </c>
      <c r="L137" s="75"/>
      <c r="M137" s="75"/>
      <c r="N137" s="75"/>
    </row>
    <row r="138" spans="1:14" ht="18.75">
      <c r="A138" s="67">
        <v>27</v>
      </c>
      <c r="B138" s="68"/>
      <c r="C138" s="69"/>
      <c r="D138" s="258"/>
      <c r="E138" s="70"/>
      <c r="F138" s="70"/>
      <c r="G138" s="70"/>
      <c r="H138" s="70"/>
      <c r="I138" s="70"/>
      <c r="J138" s="70"/>
      <c r="K138" s="74">
        <f t="shared" si="103"/>
        <v>0</v>
      </c>
      <c r="L138" s="75"/>
      <c r="M138" s="75"/>
      <c r="N138" s="75"/>
    </row>
    <row r="139" spans="1:14" ht="18.75">
      <c r="A139" s="67">
        <v>28</v>
      </c>
      <c r="B139" s="68"/>
      <c r="C139" s="69"/>
      <c r="D139" s="258"/>
      <c r="E139" s="70"/>
      <c r="F139" s="70"/>
      <c r="G139" s="70"/>
      <c r="H139" s="70"/>
      <c r="I139" s="70"/>
      <c r="J139" s="70"/>
      <c r="K139" s="74">
        <f t="shared" si="103"/>
        <v>0</v>
      </c>
      <c r="L139" s="75"/>
      <c r="M139" s="75"/>
      <c r="N139" s="75"/>
    </row>
    <row r="140" spans="1:14" ht="18.75">
      <c r="A140" s="67">
        <v>29</v>
      </c>
      <c r="B140" s="68"/>
      <c r="C140" s="69"/>
      <c r="D140" s="258"/>
      <c r="E140" s="70"/>
      <c r="F140" s="70"/>
      <c r="G140" s="70"/>
      <c r="H140" s="70"/>
      <c r="I140" s="70"/>
      <c r="J140" s="70"/>
      <c r="K140" s="74">
        <f t="shared" si="103"/>
        <v>0</v>
      </c>
      <c r="L140" s="75"/>
      <c r="M140" s="75"/>
      <c r="N140" s="75"/>
    </row>
    <row r="141" spans="1:14" ht="18.75">
      <c r="A141" s="67">
        <v>30</v>
      </c>
      <c r="B141" s="68"/>
      <c r="C141" s="69"/>
      <c r="D141" s="258"/>
      <c r="E141" s="70"/>
      <c r="F141" s="70"/>
      <c r="G141" s="70"/>
      <c r="H141" s="70"/>
      <c r="I141" s="70"/>
      <c r="J141" s="70"/>
      <c r="K141" s="74">
        <f t="shared" si="103"/>
        <v>0</v>
      </c>
      <c r="L141" s="75"/>
      <c r="M141" s="75"/>
      <c r="N141" s="75"/>
    </row>
    <row r="142" spans="1:14" ht="18.75">
      <c r="A142" s="67">
        <v>31</v>
      </c>
      <c r="B142" s="68"/>
      <c r="C142" s="69"/>
      <c r="D142" s="258"/>
      <c r="E142" s="70"/>
      <c r="F142" s="70"/>
      <c r="G142" s="70"/>
      <c r="H142" s="70"/>
      <c r="I142" s="70"/>
      <c r="J142" s="70"/>
      <c r="K142" s="74">
        <f t="shared" si="103"/>
        <v>0</v>
      </c>
      <c r="L142" s="75"/>
      <c r="M142" s="75"/>
      <c r="N142" s="75"/>
    </row>
    <row r="143" spans="1:14" ht="18.75">
      <c r="A143" s="67">
        <v>32</v>
      </c>
      <c r="B143" s="68"/>
      <c r="C143" s="69"/>
      <c r="D143" s="258"/>
      <c r="E143" s="70"/>
      <c r="F143" s="70"/>
      <c r="G143" s="70"/>
      <c r="H143" s="70"/>
      <c r="I143" s="70"/>
      <c r="J143" s="70"/>
      <c r="K143" s="74">
        <f t="shared" si="103"/>
        <v>0</v>
      </c>
      <c r="L143" s="75"/>
      <c r="M143" s="75"/>
      <c r="N143" s="75"/>
    </row>
    <row r="144" spans="1:14" ht="18.75">
      <c r="A144" s="67">
        <v>33</v>
      </c>
      <c r="B144" s="68"/>
      <c r="C144" s="69"/>
      <c r="D144" s="258"/>
      <c r="E144" s="70"/>
      <c r="F144" s="70"/>
      <c r="G144" s="70"/>
      <c r="H144" s="70"/>
      <c r="I144" s="70"/>
      <c r="J144" s="70"/>
      <c r="K144" s="74">
        <f t="shared" si="103"/>
        <v>0</v>
      </c>
      <c r="L144" s="75"/>
      <c r="M144" s="75"/>
      <c r="N144" s="75"/>
    </row>
    <row r="145" spans="1:14" ht="18.75">
      <c r="A145" s="67">
        <v>34</v>
      </c>
      <c r="B145" s="68"/>
      <c r="C145" s="69"/>
      <c r="D145" s="258"/>
      <c r="E145" s="70"/>
      <c r="F145" s="70"/>
      <c r="G145" s="70"/>
      <c r="H145" s="70"/>
      <c r="I145" s="70"/>
      <c r="J145" s="70"/>
      <c r="K145" s="74">
        <f t="shared" si="103"/>
        <v>0</v>
      </c>
      <c r="L145" s="75"/>
      <c r="M145" s="75"/>
      <c r="N145" s="75"/>
    </row>
    <row r="146" spans="1:14" ht="18.75">
      <c r="A146" s="67">
        <v>35</v>
      </c>
      <c r="B146" s="68"/>
      <c r="C146" s="69"/>
      <c r="D146" s="258"/>
      <c r="E146" s="70"/>
      <c r="F146" s="70"/>
      <c r="G146" s="70"/>
      <c r="H146" s="70"/>
      <c r="I146" s="70"/>
      <c r="J146" s="70"/>
      <c r="K146" s="74">
        <f t="shared" si="103"/>
        <v>0</v>
      </c>
      <c r="L146" s="75"/>
      <c r="M146" s="75"/>
      <c r="N146" s="75"/>
    </row>
    <row r="147" spans="1:14" ht="18.75">
      <c r="A147" s="67">
        <v>36</v>
      </c>
      <c r="B147" s="68"/>
      <c r="C147" s="69"/>
      <c r="D147" s="258"/>
      <c r="E147" s="70"/>
      <c r="F147" s="70"/>
      <c r="G147" s="70"/>
      <c r="H147" s="70"/>
      <c r="I147" s="70"/>
      <c r="J147" s="70"/>
      <c r="K147" s="74">
        <f t="shared" si="103"/>
        <v>0</v>
      </c>
      <c r="L147" s="75"/>
      <c r="M147" s="75"/>
      <c r="N147" s="75"/>
    </row>
    <row r="148" spans="1:14" ht="18.75">
      <c r="A148" s="67">
        <v>37</v>
      </c>
      <c r="B148" s="68"/>
      <c r="C148" s="69"/>
      <c r="D148" s="258"/>
      <c r="E148" s="70"/>
      <c r="F148" s="70"/>
      <c r="G148" s="70"/>
      <c r="H148" s="70"/>
      <c r="I148" s="70"/>
      <c r="J148" s="70"/>
      <c r="K148" s="74">
        <f t="shared" si="103"/>
        <v>0</v>
      </c>
      <c r="L148" s="75"/>
      <c r="M148" s="75"/>
      <c r="N148" s="75"/>
    </row>
    <row r="149" spans="1:14" ht="18.75">
      <c r="A149" s="67">
        <v>38</v>
      </c>
      <c r="B149" s="68"/>
      <c r="C149" s="69"/>
      <c r="D149" s="258"/>
      <c r="E149" s="70"/>
      <c r="F149" s="70"/>
      <c r="G149" s="70"/>
      <c r="H149" s="70"/>
      <c r="I149" s="70"/>
      <c r="J149" s="70"/>
      <c r="K149" s="74">
        <f t="shared" si="103"/>
        <v>0</v>
      </c>
      <c r="L149" s="75"/>
      <c r="M149" s="75"/>
      <c r="N149" s="75"/>
    </row>
    <row r="150" spans="1:14" ht="18.75">
      <c r="A150" s="67">
        <v>39</v>
      </c>
      <c r="B150" s="68"/>
      <c r="C150" s="69"/>
      <c r="D150" s="258"/>
      <c r="E150" s="70"/>
      <c r="F150" s="70"/>
      <c r="G150" s="70"/>
      <c r="H150" s="70"/>
      <c r="I150" s="70"/>
      <c r="J150" s="70"/>
      <c r="K150" s="74">
        <f t="shared" si="103"/>
        <v>0</v>
      </c>
      <c r="L150" s="75"/>
      <c r="M150" s="75"/>
      <c r="N150" s="75"/>
    </row>
    <row r="151" spans="1:14" ht="18.75">
      <c r="A151" s="67">
        <v>40</v>
      </c>
      <c r="B151" s="68"/>
      <c r="C151" s="69"/>
      <c r="D151" s="258"/>
      <c r="E151" s="70"/>
      <c r="F151" s="70"/>
      <c r="G151" s="70"/>
      <c r="H151" s="70"/>
      <c r="I151" s="70"/>
      <c r="J151" s="70"/>
      <c r="K151" s="74">
        <f t="shared" si="103"/>
        <v>0</v>
      </c>
      <c r="L151" s="75"/>
      <c r="M151" s="75"/>
      <c r="N151" s="75"/>
    </row>
    <row r="152" spans="1:14" ht="18.75">
      <c r="A152" s="67"/>
      <c r="B152" s="71" t="s">
        <v>40</v>
      </c>
      <c r="C152" s="69"/>
      <c r="D152" s="259"/>
      <c r="E152" s="72">
        <f t="shared" ref="E152:J152" si="105">SUM(E112:E127)</f>
        <v>0</v>
      </c>
      <c r="F152" s="72">
        <f t="shared" si="105"/>
        <v>0</v>
      </c>
      <c r="G152" s="72">
        <f t="shared" si="105"/>
        <v>0</v>
      </c>
      <c r="H152" s="72">
        <f t="shared" si="105"/>
        <v>0</v>
      </c>
      <c r="I152" s="72">
        <f t="shared" si="105"/>
        <v>13000</v>
      </c>
      <c r="J152" s="72">
        <f t="shared" si="105"/>
        <v>0</v>
      </c>
      <c r="K152" s="74">
        <f>SUM(E152:J152)</f>
        <v>13000</v>
      </c>
      <c r="L152" s="75"/>
      <c r="M152" s="75"/>
      <c r="N152" s="75"/>
    </row>
    <row r="153" spans="1:14" ht="23.25">
      <c r="A153" s="530" t="s">
        <v>423</v>
      </c>
      <c r="B153" s="530"/>
      <c r="C153" s="530"/>
      <c r="D153" s="530"/>
      <c r="E153" s="530"/>
      <c r="F153" s="530"/>
      <c r="G153" s="530"/>
      <c r="H153" s="530"/>
      <c r="I153" s="530"/>
      <c r="J153" s="530"/>
      <c r="K153" s="530"/>
      <c r="L153" s="75"/>
      <c r="M153" s="75"/>
      <c r="N153" s="75"/>
    </row>
    <row r="154" spans="1:14">
      <c r="A154" s="520" t="s">
        <v>8</v>
      </c>
      <c r="B154" s="520" t="s">
        <v>50</v>
      </c>
      <c r="C154" s="520" t="s">
        <v>90</v>
      </c>
      <c r="D154" s="520" t="s">
        <v>91</v>
      </c>
      <c r="E154" s="6" t="s">
        <v>92</v>
      </c>
      <c r="F154" s="6" t="s">
        <v>93</v>
      </c>
      <c r="G154" s="6" t="s">
        <v>93</v>
      </c>
      <c r="H154" s="6" t="s">
        <v>93</v>
      </c>
      <c r="I154" s="6" t="s">
        <v>93</v>
      </c>
      <c r="J154" s="6" t="s">
        <v>93</v>
      </c>
      <c r="K154" s="521" t="s">
        <v>94</v>
      </c>
      <c r="L154" s="75"/>
      <c r="M154" s="75"/>
      <c r="N154" s="75"/>
    </row>
    <row r="155" spans="1:14">
      <c r="A155" s="520"/>
      <c r="B155" s="520"/>
      <c r="C155" s="520"/>
      <c r="D155" s="520"/>
      <c r="E155" s="27">
        <v>41364</v>
      </c>
      <c r="F155" s="6" t="s">
        <v>95</v>
      </c>
      <c r="G155" s="6" t="s">
        <v>96</v>
      </c>
      <c r="H155" s="6" t="s">
        <v>97</v>
      </c>
      <c r="I155" s="6" t="s">
        <v>98</v>
      </c>
      <c r="J155" s="6" t="s">
        <v>99</v>
      </c>
      <c r="K155" s="522"/>
      <c r="L155" s="75"/>
      <c r="M155" s="75"/>
      <c r="N155" s="75"/>
    </row>
    <row r="156" spans="1:14" ht="18.75">
      <c r="A156" s="67">
        <v>1</v>
      </c>
      <c r="B156" s="68" t="str">
        <f t="shared" ref="B156:B171" si="106">B112</f>
        <v>feJhyky</v>
      </c>
      <c r="C156" s="69" t="str">
        <f t="shared" ref="C156:C172" si="107">C59</f>
        <v>PRINCIPAL</v>
      </c>
      <c r="D156" s="258" t="s">
        <v>100</v>
      </c>
      <c r="E156" s="70">
        <v>0</v>
      </c>
      <c r="F156" s="70">
        <v>0</v>
      </c>
      <c r="G156" s="70">
        <v>0</v>
      </c>
      <c r="H156" s="70">
        <v>0</v>
      </c>
      <c r="I156" s="70">
        <v>0</v>
      </c>
      <c r="J156" s="70">
        <v>0</v>
      </c>
      <c r="K156" s="74">
        <f>SUM(E156:J156)</f>
        <v>0</v>
      </c>
      <c r="L156" s="75"/>
      <c r="M156" s="75"/>
      <c r="N156" s="75"/>
    </row>
    <row r="157" spans="1:14" ht="18.75">
      <c r="A157" s="67">
        <v>2</v>
      </c>
      <c r="B157" s="68" t="str">
        <f t="shared" si="106"/>
        <v>lkaojey ;kno</v>
      </c>
      <c r="C157" s="69" t="str">
        <f t="shared" si="107"/>
        <v>TEACHER-I</v>
      </c>
      <c r="D157" s="258" t="s">
        <v>100</v>
      </c>
      <c r="E157" s="70">
        <v>0</v>
      </c>
      <c r="F157" s="70">
        <v>0</v>
      </c>
      <c r="G157" s="70">
        <v>0</v>
      </c>
      <c r="H157" s="70">
        <v>0</v>
      </c>
      <c r="I157" s="70">
        <v>1000</v>
      </c>
      <c r="J157" s="70">
        <v>0</v>
      </c>
      <c r="K157" s="74">
        <f t="shared" ref="K157:K195" si="108">SUM(E157:J157)</f>
        <v>1000</v>
      </c>
      <c r="L157" s="75"/>
      <c r="M157" s="75"/>
      <c r="N157" s="75"/>
    </row>
    <row r="158" spans="1:14" ht="18.75">
      <c r="A158" s="67">
        <v>3</v>
      </c>
      <c r="B158" s="68" t="str">
        <f t="shared" si="106"/>
        <v>dY;k.kfalg</v>
      </c>
      <c r="C158" s="69" t="str">
        <f t="shared" si="107"/>
        <v>TEACHER-I</v>
      </c>
      <c r="D158" s="258" t="s">
        <v>100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70">
        <v>0</v>
      </c>
      <c r="K158" s="74">
        <f t="shared" si="108"/>
        <v>0</v>
      </c>
      <c r="L158" s="75"/>
      <c r="M158" s="75"/>
      <c r="N158" s="75"/>
    </row>
    <row r="159" spans="1:14" ht="18.75">
      <c r="A159" s="67">
        <v>4</v>
      </c>
      <c r="B159" s="68" t="str">
        <f t="shared" si="106"/>
        <v>Hkxokuflag</v>
      </c>
      <c r="C159" s="69" t="str">
        <f t="shared" si="107"/>
        <v>TEACHER-I</v>
      </c>
      <c r="D159" s="258" t="s">
        <v>100</v>
      </c>
      <c r="E159" s="70">
        <v>0</v>
      </c>
      <c r="F159" s="70">
        <v>0</v>
      </c>
      <c r="G159" s="70">
        <v>0</v>
      </c>
      <c r="H159" s="70">
        <v>0</v>
      </c>
      <c r="I159" s="70">
        <v>2000</v>
      </c>
      <c r="J159" s="70">
        <v>0</v>
      </c>
      <c r="K159" s="74">
        <f t="shared" si="108"/>
        <v>2000</v>
      </c>
      <c r="L159" s="75"/>
      <c r="M159" s="75"/>
      <c r="N159" s="75"/>
    </row>
    <row r="160" spans="1:14" ht="18.75">
      <c r="A160" s="67">
        <v>5</v>
      </c>
      <c r="B160" s="68" t="str">
        <f t="shared" si="106"/>
        <v>ghjkyky tkV</v>
      </c>
      <c r="C160" s="69" t="str">
        <f t="shared" si="107"/>
        <v>TEACHER-I</v>
      </c>
      <c r="D160" s="258" t="s">
        <v>100</v>
      </c>
      <c r="E160" s="70">
        <v>0</v>
      </c>
      <c r="F160" s="70">
        <v>0</v>
      </c>
      <c r="G160" s="70">
        <v>0</v>
      </c>
      <c r="H160" s="70">
        <v>0</v>
      </c>
      <c r="I160" s="70">
        <v>0</v>
      </c>
      <c r="J160" s="70">
        <v>0</v>
      </c>
      <c r="K160" s="74">
        <f t="shared" si="108"/>
        <v>0</v>
      </c>
      <c r="L160" s="75"/>
      <c r="M160" s="75"/>
      <c r="N160" s="75"/>
    </row>
    <row r="161" spans="1:14" ht="18.75">
      <c r="A161" s="67">
        <v>6</v>
      </c>
      <c r="B161" s="68" t="str">
        <f t="shared" si="106"/>
        <v>egsUnz iVsy</v>
      </c>
      <c r="C161" s="69" t="str">
        <f t="shared" si="107"/>
        <v>TEACHER-II</v>
      </c>
      <c r="D161" s="258" t="s">
        <v>100</v>
      </c>
      <c r="E161" s="70">
        <v>0</v>
      </c>
      <c r="F161" s="70">
        <v>0</v>
      </c>
      <c r="G161" s="70">
        <v>0</v>
      </c>
      <c r="H161" s="70">
        <v>0</v>
      </c>
      <c r="I161" s="70">
        <v>0</v>
      </c>
      <c r="J161" s="70">
        <v>0</v>
      </c>
      <c r="K161" s="74">
        <f t="shared" si="108"/>
        <v>0</v>
      </c>
      <c r="L161" s="75"/>
      <c r="M161" s="75"/>
      <c r="N161" s="75"/>
    </row>
    <row r="162" spans="1:14" ht="18.75">
      <c r="A162" s="67">
        <v>7</v>
      </c>
      <c r="B162" s="68" t="str">
        <f t="shared" si="106"/>
        <v>ekaxhyky jkaxh</v>
      </c>
      <c r="C162" s="69" t="str">
        <f t="shared" si="107"/>
        <v>TEACHER-II</v>
      </c>
      <c r="D162" s="258" t="s">
        <v>100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70">
        <v>0</v>
      </c>
      <c r="K162" s="74">
        <f t="shared" si="108"/>
        <v>0</v>
      </c>
      <c r="L162" s="75"/>
      <c r="M162" s="75"/>
      <c r="N162" s="75"/>
    </row>
    <row r="163" spans="1:14" ht="18.75">
      <c r="A163" s="67">
        <v>8</v>
      </c>
      <c r="B163" s="68" t="str">
        <f t="shared" si="106"/>
        <v>lqeu dqekjh lSuh</v>
      </c>
      <c r="C163" s="69" t="str">
        <f t="shared" si="107"/>
        <v>TEACHER-II</v>
      </c>
      <c r="D163" s="258" t="s">
        <v>100</v>
      </c>
      <c r="E163" s="70">
        <v>0</v>
      </c>
      <c r="F163" s="70">
        <v>0</v>
      </c>
      <c r="G163" s="70">
        <v>0</v>
      </c>
      <c r="H163" s="70">
        <v>0</v>
      </c>
      <c r="I163" s="70">
        <v>2000</v>
      </c>
      <c r="J163" s="70">
        <v>0</v>
      </c>
      <c r="K163" s="74">
        <f t="shared" si="108"/>
        <v>2000</v>
      </c>
      <c r="L163" s="75"/>
      <c r="M163" s="75"/>
      <c r="N163" s="75"/>
    </row>
    <row r="164" spans="1:14" ht="18.75">
      <c r="A164" s="67">
        <v>9</v>
      </c>
      <c r="B164" s="68" t="str">
        <f t="shared" si="106"/>
        <v>lqjs'k dqekj vknjk</v>
      </c>
      <c r="C164" s="69" t="str">
        <f t="shared" si="107"/>
        <v>TEACHER-III</v>
      </c>
      <c r="D164" s="258" t="s">
        <v>100</v>
      </c>
      <c r="E164" s="70">
        <v>0</v>
      </c>
      <c r="F164" s="70">
        <v>0</v>
      </c>
      <c r="G164" s="70">
        <v>0</v>
      </c>
      <c r="H164" s="70">
        <v>0</v>
      </c>
      <c r="I164" s="70">
        <v>2000</v>
      </c>
      <c r="J164" s="70">
        <v>0</v>
      </c>
      <c r="K164" s="74">
        <f t="shared" si="108"/>
        <v>2000</v>
      </c>
      <c r="L164" s="75"/>
      <c r="M164" s="75"/>
      <c r="N164" s="75"/>
    </row>
    <row r="165" spans="1:14" ht="18.75">
      <c r="A165" s="67">
        <v>10</v>
      </c>
      <c r="B165" s="68" t="str">
        <f t="shared" si="106"/>
        <v>vtquflag</v>
      </c>
      <c r="C165" s="69" t="str">
        <f t="shared" si="107"/>
        <v>TEACHER-III</v>
      </c>
      <c r="D165" s="258" t="s">
        <v>100</v>
      </c>
      <c r="E165" s="70">
        <v>0</v>
      </c>
      <c r="F165" s="70">
        <v>0</v>
      </c>
      <c r="G165" s="70">
        <v>0</v>
      </c>
      <c r="H165" s="70">
        <v>0</v>
      </c>
      <c r="I165" s="70">
        <v>1500</v>
      </c>
      <c r="J165" s="70">
        <v>0</v>
      </c>
      <c r="K165" s="74">
        <f t="shared" si="108"/>
        <v>1500</v>
      </c>
      <c r="L165" s="75"/>
      <c r="M165" s="75"/>
      <c r="N165" s="75"/>
    </row>
    <row r="166" spans="1:14" ht="18.75">
      <c r="A166" s="67">
        <v>11</v>
      </c>
      <c r="B166" s="68" t="str">
        <f t="shared" si="106"/>
        <v>Hkykjke</v>
      </c>
      <c r="C166" s="69" t="str">
        <f t="shared" si="107"/>
        <v>TEACHER-III</v>
      </c>
      <c r="D166" s="258" t="s">
        <v>100</v>
      </c>
      <c r="E166" s="70">
        <v>0</v>
      </c>
      <c r="F166" s="70">
        <v>0</v>
      </c>
      <c r="G166" s="70">
        <v>0</v>
      </c>
      <c r="H166" s="70">
        <v>0</v>
      </c>
      <c r="I166" s="70">
        <v>0</v>
      </c>
      <c r="J166" s="70">
        <v>0</v>
      </c>
      <c r="K166" s="74">
        <f t="shared" si="108"/>
        <v>0</v>
      </c>
      <c r="L166" s="75"/>
      <c r="M166" s="75"/>
      <c r="N166" s="75"/>
    </row>
    <row r="167" spans="1:14" ht="18.75">
      <c r="A167" s="67">
        <v>12</v>
      </c>
      <c r="B167" s="68" t="str">
        <f t="shared" si="106"/>
        <v>yfyrdqekj</v>
      </c>
      <c r="C167" s="69" t="str">
        <f t="shared" si="107"/>
        <v>TEACHER-III</v>
      </c>
      <c r="D167" s="258" t="s">
        <v>100</v>
      </c>
      <c r="E167" s="70">
        <v>0</v>
      </c>
      <c r="F167" s="70">
        <v>0</v>
      </c>
      <c r="G167" s="70">
        <v>0</v>
      </c>
      <c r="H167" s="70">
        <v>0</v>
      </c>
      <c r="I167" s="70">
        <v>1000</v>
      </c>
      <c r="J167" s="70">
        <v>0</v>
      </c>
      <c r="K167" s="74">
        <f t="shared" si="108"/>
        <v>1000</v>
      </c>
      <c r="L167" s="75"/>
      <c r="M167" s="75"/>
      <c r="N167" s="75"/>
    </row>
    <row r="168" spans="1:14" ht="18.75">
      <c r="A168" s="67">
        <v>13</v>
      </c>
      <c r="B168" s="68" t="str">
        <f t="shared" si="106"/>
        <v>_f"kds'k</v>
      </c>
      <c r="C168" s="69" t="str">
        <f t="shared" si="107"/>
        <v>TEACHER-III</v>
      </c>
      <c r="D168" s="258" t="s">
        <v>100</v>
      </c>
      <c r="E168" s="70">
        <v>0</v>
      </c>
      <c r="F168" s="70">
        <v>0</v>
      </c>
      <c r="G168" s="70">
        <v>0</v>
      </c>
      <c r="H168" s="70">
        <v>0</v>
      </c>
      <c r="I168" s="70">
        <v>0</v>
      </c>
      <c r="J168" s="70">
        <v>0</v>
      </c>
      <c r="K168" s="74">
        <f t="shared" si="108"/>
        <v>0</v>
      </c>
      <c r="L168" s="75"/>
      <c r="M168" s="75"/>
      <c r="N168" s="75"/>
    </row>
    <row r="169" spans="1:14" ht="18.75">
      <c r="A169" s="67">
        <v>14</v>
      </c>
      <c r="B169" s="68" t="str">
        <f t="shared" si="106"/>
        <v>eunhiflag</v>
      </c>
      <c r="C169" s="69" t="str">
        <f t="shared" si="107"/>
        <v>PTI  III</v>
      </c>
      <c r="D169" s="258" t="s">
        <v>100</v>
      </c>
      <c r="E169" s="70">
        <v>0</v>
      </c>
      <c r="F169" s="70">
        <v>0</v>
      </c>
      <c r="G169" s="70">
        <v>0</v>
      </c>
      <c r="H169" s="70">
        <v>0</v>
      </c>
      <c r="I169" s="70">
        <v>2000</v>
      </c>
      <c r="J169" s="70">
        <v>0</v>
      </c>
      <c r="K169" s="74">
        <f t="shared" si="108"/>
        <v>2000</v>
      </c>
      <c r="L169" s="75"/>
      <c r="M169" s="75"/>
      <c r="N169" s="75"/>
    </row>
    <row r="170" spans="1:14" ht="18.75">
      <c r="A170" s="67">
        <v>15</v>
      </c>
      <c r="B170" s="68" t="str">
        <f t="shared" si="106"/>
        <v>vt;dqekj</v>
      </c>
      <c r="C170" s="69" t="str">
        <f t="shared" si="107"/>
        <v>PEON</v>
      </c>
      <c r="D170" s="258" t="s">
        <v>100</v>
      </c>
      <c r="E170" s="70">
        <v>0</v>
      </c>
      <c r="F170" s="70">
        <v>0</v>
      </c>
      <c r="G170" s="70">
        <v>0</v>
      </c>
      <c r="H170" s="70">
        <v>0</v>
      </c>
      <c r="I170" s="70">
        <v>500</v>
      </c>
      <c r="J170" s="70">
        <v>0</v>
      </c>
      <c r="K170" s="74">
        <f t="shared" si="108"/>
        <v>500</v>
      </c>
      <c r="L170" s="75"/>
      <c r="M170" s="75"/>
      <c r="N170" s="75"/>
    </row>
    <row r="171" spans="1:14" ht="18.75">
      <c r="A171" s="67">
        <v>16</v>
      </c>
      <c r="B171" s="68" t="str">
        <f t="shared" si="106"/>
        <v>in fjDr</v>
      </c>
      <c r="C171" s="69" t="str">
        <f t="shared" si="107"/>
        <v>LAB BOY</v>
      </c>
      <c r="D171" s="258" t="s">
        <v>100</v>
      </c>
      <c r="E171" s="70">
        <v>0</v>
      </c>
      <c r="F171" s="70">
        <v>0</v>
      </c>
      <c r="G171" s="70">
        <v>0</v>
      </c>
      <c r="H171" s="70">
        <v>0</v>
      </c>
      <c r="I171" s="70">
        <v>0</v>
      </c>
      <c r="J171" s="70">
        <v>0</v>
      </c>
      <c r="K171" s="74">
        <f t="shared" si="108"/>
        <v>0</v>
      </c>
      <c r="L171" s="75"/>
      <c r="M171" s="75"/>
      <c r="N171" s="75"/>
    </row>
    <row r="172" spans="1:14" ht="18.75">
      <c r="A172" s="67">
        <v>17</v>
      </c>
      <c r="B172" s="68"/>
      <c r="C172" s="69" t="str">
        <f t="shared" si="107"/>
        <v>CLERK GRADE II</v>
      </c>
      <c r="D172" s="258"/>
      <c r="E172" s="70"/>
      <c r="F172" s="70"/>
      <c r="G172" s="70"/>
      <c r="H172" s="70"/>
      <c r="I172" s="70"/>
      <c r="J172" s="70"/>
      <c r="K172" s="74">
        <f t="shared" si="108"/>
        <v>0</v>
      </c>
      <c r="L172" s="75"/>
      <c r="M172" s="75"/>
      <c r="N172" s="75"/>
    </row>
    <row r="173" spans="1:14" ht="18.75">
      <c r="A173" s="67">
        <v>18</v>
      </c>
      <c r="B173" s="68"/>
      <c r="C173" s="69"/>
      <c r="D173" s="258"/>
      <c r="E173" s="70"/>
      <c r="F173" s="70"/>
      <c r="G173" s="70"/>
      <c r="H173" s="70"/>
      <c r="I173" s="70"/>
      <c r="J173" s="70"/>
      <c r="K173" s="74">
        <f t="shared" si="108"/>
        <v>0</v>
      </c>
      <c r="L173" s="75"/>
      <c r="M173" s="75"/>
      <c r="N173" s="75"/>
    </row>
    <row r="174" spans="1:14" ht="18.75">
      <c r="A174" s="67">
        <v>19</v>
      </c>
      <c r="B174" s="68"/>
      <c r="C174" s="69"/>
      <c r="D174" s="258"/>
      <c r="E174" s="70"/>
      <c r="F174" s="70"/>
      <c r="G174" s="70"/>
      <c r="H174" s="70"/>
      <c r="I174" s="70"/>
      <c r="J174" s="70"/>
      <c r="K174" s="74">
        <f t="shared" si="108"/>
        <v>0</v>
      </c>
      <c r="L174" s="75"/>
      <c r="M174" s="75"/>
      <c r="N174" s="75"/>
    </row>
    <row r="175" spans="1:14" ht="18.75">
      <c r="A175" s="67">
        <v>20</v>
      </c>
      <c r="B175" s="68"/>
      <c r="C175" s="69"/>
      <c r="D175" s="258"/>
      <c r="E175" s="70"/>
      <c r="F175" s="70"/>
      <c r="G175" s="70"/>
      <c r="H175" s="70"/>
      <c r="I175" s="70"/>
      <c r="J175" s="70"/>
      <c r="K175" s="74">
        <f t="shared" si="108"/>
        <v>0</v>
      </c>
      <c r="L175" s="75"/>
      <c r="M175" s="75"/>
      <c r="N175" s="75"/>
    </row>
    <row r="176" spans="1:14" ht="18.75">
      <c r="A176" s="67">
        <v>21</v>
      </c>
      <c r="B176" s="68"/>
      <c r="C176" s="69"/>
      <c r="D176" s="258"/>
      <c r="E176" s="70"/>
      <c r="F176" s="70"/>
      <c r="G176" s="70"/>
      <c r="H176" s="70"/>
      <c r="I176" s="70"/>
      <c r="J176" s="70"/>
      <c r="K176" s="74">
        <f t="shared" si="108"/>
        <v>0</v>
      </c>
      <c r="L176" s="75"/>
      <c r="M176" s="75"/>
      <c r="N176" s="75"/>
    </row>
    <row r="177" spans="1:14" ht="18.75">
      <c r="A177" s="67">
        <v>22</v>
      </c>
      <c r="B177" s="68"/>
      <c r="C177" s="69"/>
      <c r="D177" s="258"/>
      <c r="E177" s="70"/>
      <c r="F177" s="70"/>
      <c r="G177" s="70"/>
      <c r="H177" s="70"/>
      <c r="I177" s="70"/>
      <c r="J177" s="70"/>
      <c r="K177" s="74">
        <f t="shared" si="108"/>
        <v>0</v>
      </c>
      <c r="L177" s="75"/>
      <c r="M177" s="75"/>
      <c r="N177" s="75"/>
    </row>
    <row r="178" spans="1:14" ht="18.75">
      <c r="A178" s="67">
        <v>23</v>
      </c>
      <c r="B178" s="68"/>
      <c r="C178" s="69"/>
      <c r="D178" s="258"/>
      <c r="E178" s="70"/>
      <c r="F178" s="70"/>
      <c r="G178" s="70"/>
      <c r="H178" s="70"/>
      <c r="I178" s="70"/>
      <c r="J178" s="70"/>
      <c r="K178" s="74">
        <f t="shared" si="108"/>
        <v>0</v>
      </c>
      <c r="L178" s="75"/>
      <c r="M178" s="75"/>
      <c r="N178" s="75"/>
    </row>
    <row r="179" spans="1:14" ht="18.75">
      <c r="A179" s="67">
        <v>24</v>
      </c>
      <c r="B179" s="68"/>
      <c r="C179" s="69"/>
      <c r="D179" s="258"/>
      <c r="E179" s="70"/>
      <c r="F179" s="70"/>
      <c r="G179" s="70"/>
      <c r="H179" s="70"/>
      <c r="I179" s="70"/>
      <c r="J179" s="70"/>
      <c r="K179" s="74">
        <f t="shared" si="108"/>
        <v>0</v>
      </c>
      <c r="L179" s="75"/>
      <c r="M179" s="75"/>
      <c r="N179" s="75"/>
    </row>
    <row r="180" spans="1:14" ht="18.75">
      <c r="A180" s="67">
        <v>25</v>
      </c>
      <c r="B180" s="68"/>
      <c r="C180" s="69"/>
      <c r="D180" s="258"/>
      <c r="E180" s="70"/>
      <c r="F180" s="70"/>
      <c r="G180" s="70"/>
      <c r="H180" s="70"/>
      <c r="I180" s="70"/>
      <c r="J180" s="70"/>
      <c r="K180" s="74">
        <f t="shared" si="108"/>
        <v>0</v>
      </c>
      <c r="L180" s="75"/>
      <c r="M180" s="75"/>
      <c r="N180" s="75"/>
    </row>
    <row r="181" spans="1:14" ht="18.75">
      <c r="A181" s="67">
        <v>26</v>
      </c>
      <c r="B181" s="68"/>
      <c r="C181" s="69"/>
      <c r="D181" s="258"/>
      <c r="E181" s="70"/>
      <c r="F181" s="70"/>
      <c r="G181" s="70"/>
      <c r="H181" s="70"/>
      <c r="I181" s="70"/>
      <c r="J181" s="70"/>
      <c r="K181" s="74">
        <f t="shared" si="108"/>
        <v>0</v>
      </c>
      <c r="L181" s="75"/>
      <c r="M181" s="75"/>
      <c r="N181" s="75"/>
    </row>
    <row r="182" spans="1:14" ht="18.75">
      <c r="A182" s="67">
        <v>27</v>
      </c>
      <c r="B182" s="68"/>
      <c r="C182" s="69"/>
      <c r="D182" s="258"/>
      <c r="E182" s="70"/>
      <c r="F182" s="70"/>
      <c r="G182" s="70"/>
      <c r="H182" s="70"/>
      <c r="I182" s="70"/>
      <c r="J182" s="70"/>
      <c r="K182" s="74">
        <f t="shared" si="108"/>
        <v>0</v>
      </c>
      <c r="L182" s="75"/>
      <c r="M182" s="75"/>
      <c r="N182" s="75"/>
    </row>
    <row r="183" spans="1:14" ht="18.75">
      <c r="A183" s="67">
        <v>28</v>
      </c>
      <c r="B183" s="68"/>
      <c r="C183" s="69"/>
      <c r="D183" s="258"/>
      <c r="E183" s="70"/>
      <c r="F183" s="70"/>
      <c r="G183" s="70"/>
      <c r="H183" s="70"/>
      <c r="I183" s="70"/>
      <c r="J183" s="70"/>
      <c r="K183" s="74">
        <f t="shared" si="108"/>
        <v>0</v>
      </c>
      <c r="L183" s="75"/>
      <c r="M183" s="75"/>
      <c r="N183" s="75"/>
    </row>
    <row r="184" spans="1:14" ht="18.75">
      <c r="A184" s="67">
        <v>29</v>
      </c>
      <c r="B184" s="68"/>
      <c r="C184" s="69"/>
      <c r="D184" s="258"/>
      <c r="E184" s="70"/>
      <c r="F184" s="70"/>
      <c r="G184" s="70"/>
      <c r="H184" s="70"/>
      <c r="I184" s="70"/>
      <c r="J184" s="70"/>
      <c r="K184" s="74">
        <f t="shared" si="108"/>
        <v>0</v>
      </c>
      <c r="L184" s="75"/>
      <c r="M184" s="75"/>
      <c r="N184" s="75"/>
    </row>
    <row r="185" spans="1:14" ht="18.75">
      <c r="A185" s="67">
        <v>30</v>
      </c>
      <c r="B185" s="68"/>
      <c r="C185" s="69"/>
      <c r="D185" s="258"/>
      <c r="E185" s="70"/>
      <c r="F185" s="70"/>
      <c r="G185" s="70"/>
      <c r="H185" s="70"/>
      <c r="I185" s="70"/>
      <c r="J185" s="70"/>
      <c r="K185" s="74">
        <f t="shared" si="108"/>
        <v>0</v>
      </c>
      <c r="L185" s="75"/>
      <c r="M185" s="75"/>
      <c r="N185" s="75"/>
    </row>
    <row r="186" spans="1:14" ht="18.75">
      <c r="A186" s="67">
        <v>31</v>
      </c>
      <c r="B186" s="68"/>
      <c r="C186" s="69"/>
      <c r="D186" s="258"/>
      <c r="E186" s="70"/>
      <c r="F186" s="70"/>
      <c r="G186" s="70"/>
      <c r="H186" s="70"/>
      <c r="I186" s="70"/>
      <c r="J186" s="70"/>
      <c r="K186" s="74">
        <f t="shared" si="108"/>
        <v>0</v>
      </c>
      <c r="L186" s="75"/>
      <c r="M186" s="75"/>
      <c r="N186" s="75"/>
    </row>
    <row r="187" spans="1:14" ht="18.75">
      <c r="A187" s="67">
        <v>32</v>
      </c>
      <c r="B187" s="68"/>
      <c r="C187" s="69"/>
      <c r="D187" s="258"/>
      <c r="E187" s="70"/>
      <c r="F187" s="70"/>
      <c r="G187" s="70"/>
      <c r="H187" s="70"/>
      <c r="I187" s="70"/>
      <c r="J187" s="70"/>
      <c r="K187" s="74">
        <f t="shared" si="108"/>
        <v>0</v>
      </c>
      <c r="L187" s="75"/>
      <c r="M187" s="75"/>
      <c r="N187" s="75"/>
    </row>
    <row r="188" spans="1:14" ht="18.75">
      <c r="A188" s="67">
        <v>33</v>
      </c>
      <c r="B188" s="68"/>
      <c r="C188" s="69"/>
      <c r="D188" s="258"/>
      <c r="E188" s="70"/>
      <c r="F188" s="70"/>
      <c r="G188" s="70"/>
      <c r="H188" s="70"/>
      <c r="I188" s="70"/>
      <c r="J188" s="70"/>
      <c r="K188" s="74">
        <f t="shared" si="108"/>
        <v>0</v>
      </c>
      <c r="L188" s="75"/>
      <c r="M188" s="75"/>
      <c r="N188" s="75"/>
    </row>
    <row r="189" spans="1:14" ht="18.75">
      <c r="A189" s="67">
        <v>34</v>
      </c>
      <c r="B189" s="68"/>
      <c r="C189" s="69"/>
      <c r="D189" s="258"/>
      <c r="E189" s="70"/>
      <c r="F189" s="70"/>
      <c r="G189" s="70"/>
      <c r="H189" s="70"/>
      <c r="I189" s="70"/>
      <c r="J189" s="70"/>
      <c r="K189" s="74">
        <f t="shared" si="108"/>
        <v>0</v>
      </c>
      <c r="L189" s="75"/>
      <c r="M189" s="75"/>
      <c r="N189" s="75"/>
    </row>
    <row r="190" spans="1:14" ht="18.75">
      <c r="A190" s="67">
        <v>35</v>
      </c>
      <c r="B190" s="68"/>
      <c r="C190" s="69"/>
      <c r="D190" s="258"/>
      <c r="E190" s="70"/>
      <c r="F190" s="70"/>
      <c r="G190" s="70"/>
      <c r="H190" s="70"/>
      <c r="I190" s="70"/>
      <c r="J190" s="70"/>
      <c r="K190" s="74">
        <f t="shared" si="108"/>
        <v>0</v>
      </c>
      <c r="L190" s="75"/>
      <c r="M190" s="75"/>
      <c r="N190" s="75"/>
    </row>
    <row r="191" spans="1:14" ht="18.75">
      <c r="A191" s="67">
        <v>36</v>
      </c>
      <c r="B191" s="68"/>
      <c r="C191" s="69"/>
      <c r="D191" s="258"/>
      <c r="E191" s="70"/>
      <c r="F191" s="70"/>
      <c r="G191" s="70"/>
      <c r="H191" s="70"/>
      <c r="I191" s="70"/>
      <c r="J191" s="70"/>
      <c r="K191" s="74">
        <f t="shared" si="108"/>
        <v>0</v>
      </c>
      <c r="L191" s="75"/>
      <c r="M191" s="75"/>
      <c r="N191" s="75"/>
    </row>
    <row r="192" spans="1:14" ht="18.75">
      <c r="A192" s="67">
        <v>37</v>
      </c>
      <c r="B192" s="68"/>
      <c r="C192" s="69"/>
      <c r="D192" s="258"/>
      <c r="E192" s="70"/>
      <c r="F192" s="70"/>
      <c r="G192" s="70"/>
      <c r="H192" s="70"/>
      <c r="I192" s="70"/>
      <c r="J192" s="70"/>
      <c r="K192" s="74">
        <f t="shared" si="108"/>
        <v>0</v>
      </c>
      <c r="L192" s="75"/>
      <c r="M192" s="75"/>
      <c r="N192" s="75"/>
    </row>
    <row r="193" spans="1:14" ht="18.75">
      <c r="A193" s="67">
        <v>38</v>
      </c>
      <c r="B193" s="68"/>
      <c r="C193" s="69"/>
      <c r="D193" s="258"/>
      <c r="E193" s="70"/>
      <c r="F193" s="70"/>
      <c r="G193" s="70"/>
      <c r="H193" s="70"/>
      <c r="I193" s="70"/>
      <c r="J193" s="70"/>
      <c r="K193" s="74">
        <f t="shared" si="108"/>
        <v>0</v>
      </c>
      <c r="L193" s="75"/>
      <c r="M193" s="75"/>
      <c r="N193" s="75"/>
    </row>
    <row r="194" spans="1:14" ht="18.75">
      <c r="A194" s="67">
        <v>39</v>
      </c>
      <c r="B194" s="68"/>
      <c r="C194" s="69"/>
      <c r="D194" s="258"/>
      <c r="E194" s="70"/>
      <c r="F194" s="70"/>
      <c r="G194" s="70"/>
      <c r="H194" s="70"/>
      <c r="I194" s="70"/>
      <c r="J194" s="70"/>
      <c r="K194" s="74">
        <f t="shared" si="108"/>
        <v>0</v>
      </c>
      <c r="L194" s="75"/>
      <c r="M194" s="75"/>
      <c r="N194" s="75"/>
    </row>
    <row r="195" spans="1:14" ht="18.75">
      <c r="A195" s="67">
        <v>40</v>
      </c>
      <c r="B195" s="68"/>
      <c r="C195" s="69"/>
      <c r="D195" s="258"/>
      <c r="E195" s="70"/>
      <c r="F195" s="70"/>
      <c r="G195" s="70"/>
      <c r="H195" s="70"/>
      <c r="I195" s="70"/>
      <c r="J195" s="70"/>
      <c r="K195" s="74">
        <f t="shared" si="108"/>
        <v>0</v>
      </c>
      <c r="L195" s="75"/>
      <c r="M195" s="75"/>
      <c r="N195" s="75"/>
    </row>
    <row r="196" spans="1:14" ht="18.75">
      <c r="A196" s="73"/>
      <c r="B196" s="73" t="s">
        <v>40</v>
      </c>
      <c r="C196" s="73"/>
      <c r="D196" s="73"/>
      <c r="E196" s="74">
        <f t="shared" ref="E196:J196" si="109">SUM(E156:E171)</f>
        <v>0</v>
      </c>
      <c r="F196" s="74">
        <f t="shared" si="109"/>
        <v>0</v>
      </c>
      <c r="G196" s="74">
        <f t="shared" si="109"/>
        <v>0</v>
      </c>
      <c r="H196" s="74">
        <f t="shared" si="109"/>
        <v>0</v>
      </c>
      <c r="I196" s="74">
        <f t="shared" si="109"/>
        <v>12000</v>
      </c>
      <c r="J196" s="74">
        <f t="shared" si="109"/>
        <v>0</v>
      </c>
      <c r="K196" s="74">
        <f>SUM(E196:J196)</f>
        <v>12000</v>
      </c>
      <c r="L196" s="75"/>
      <c r="M196" s="75"/>
      <c r="N196" s="75"/>
    </row>
    <row r="197" spans="1:14">
      <c r="A197" s="76"/>
      <c r="B197" s="77"/>
      <c r="C197" s="78"/>
      <c r="D197" s="78"/>
      <c r="E197" s="76"/>
      <c r="F197" s="76"/>
      <c r="G197" s="76"/>
      <c r="H197" s="76"/>
      <c r="I197" s="76"/>
      <c r="J197" s="76"/>
      <c r="K197" s="76"/>
      <c r="L197" s="75"/>
      <c r="M197" s="75"/>
      <c r="N197" s="75"/>
    </row>
    <row r="198" spans="1:14">
      <c r="A198" s="76"/>
      <c r="B198" s="77"/>
      <c r="C198" s="78"/>
      <c r="D198" s="78"/>
      <c r="E198" s="76"/>
      <c r="F198" s="76"/>
      <c r="G198" s="76"/>
      <c r="H198" s="76"/>
      <c r="I198" s="76"/>
      <c r="J198" s="76"/>
      <c r="K198" s="76"/>
      <c r="L198" s="75"/>
      <c r="M198" s="75"/>
      <c r="N198" s="75"/>
    </row>
    <row r="199" spans="1:14">
      <c r="A199" s="76"/>
      <c r="B199" s="77"/>
      <c r="C199" s="78"/>
      <c r="D199" s="78"/>
      <c r="E199" s="76"/>
      <c r="F199" s="76"/>
      <c r="G199" s="76"/>
      <c r="H199" s="76"/>
      <c r="I199" s="76"/>
      <c r="J199" s="76"/>
      <c r="K199" s="76"/>
      <c r="L199" s="75"/>
      <c r="M199" s="75"/>
      <c r="N199" s="75"/>
    </row>
    <row r="200" spans="1:14">
      <c r="A200" s="25"/>
      <c r="B200" s="26"/>
      <c r="C200" s="28"/>
      <c r="D200" s="28"/>
      <c r="E200" s="25"/>
      <c r="F200" s="25"/>
      <c r="G200" s="25"/>
      <c r="H200" s="25"/>
      <c r="I200" s="25"/>
      <c r="J200" s="25"/>
      <c r="K200" s="25"/>
    </row>
    <row r="201" spans="1:14">
      <c r="A201" s="25"/>
      <c r="B201" s="26"/>
      <c r="C201" s="28"/>
      <c r="D201" s="28"/>
      <c r="E201" s="25"/>
      <c r="F201" s="25"/>
      <c r="G201" s="25"/>
      <c r="H201" s="25"/>
      <c r="I201" s="25"/>
      <c r="J201" s="25"/>
      <c r="K201" s="25"/>
    </row>
    <row r="202" spans="1:14">
      <c r="A202" s="25"/>
      <c r="B202" s="26"/>
      <c r="C202" s="28"/>
      <c r="D202" s="28"/>
      <c r="E202" s="25"/>
      <c r="F202" s="25"/>
      <c r="G202" s="25"/>
      <c r="H202" s="25"/>
      <c r="I202" s="25"/>
      <c r="J202" s="25"/>
      <c r="K202" s="25"/>
    </row>
    <row r="203" spans="1:14">
      <c r="A203" s="25"/>
      <c r="B203" s="26"/>
      <c r="C203" s="28"/>
      <c r="D203" s="28"/>
      <c r="E203" s="25"/>
      <c r="F203" s="25"/>
      <c r="G203" s="25"/>
      <c r="H203" s="25"/>
      <c r="I203" s="25"/>
      <c r="J203" s="25"/>
      <c r="K203" s="25"/>
    </row>
    <row r="204" spans="1:14">
      <c r="A204" s="25"/>
      <c r="B204" s="26"/>
      <c r="C204" s="28"/>
      <c r="D204" s="28"/>
      <c r="E204" s="25"/>
      <c r="F204" s="25"/>
      <c r="G204" s="25"/>
      <c r="H204" s="25"/>
      <c r="I204" s="25"/>
      <c r="J204" s="25"/>
      <c r="K204" s="25"/>
    </row>
    <row r="205" spans="1:14">
      <c r="A205" s="25"/>
      <c r="B205" s="26"/>
      <c r="C205" s="28"/>
      <c r="D205" s="28"/>
      <c r="E205" s="25"/>
      <c r="F205" s="25"/>
      <c r="G205" s="25"/>
      <c r="H205" s="25"/>
      <c r="I205" s="25"/>
      <c r="J205" s="25"/>
      <c r="K205" s="25"/>
    </row>
    <row r="206" spans="1:14">
      <c r="A206" s="25"/>
      <c r="B206" s="26"/>
      <c r="C206" s="28"/>
      <c r="D206" s="28"/>
      <c r="E206" s="25"/>
      <c r="F206" s="25"/>
      <c r="G206" s="25"/>
      <c r="H206" s="25"/>
      <c r="I206" s="25"/>
      <c r="J206" s="25"/>
      <c r="K206" s="25"/>
    </row>
    <row r="207" spans="1:14">
      <c r="A207" s="25"/>
      <c r="B207" s="26"/>
      <c r="C207" s="28"/>
      <c r="D207" s="28"/>
      <c r="E207" s="25"/>
      <c r="F207" s="25"/>
      <c r="G207" s="25"/>
      <c r="H207" s="25"/>
      <c r="I207" s="25"/>
      <c r="J207" s="25"/>
      <c r="K207" s="25"/>
    </row>
    <row r="208" spans="1:14">
      <c r="A208" s="25"/>
      <c r="B208" s="26"/>
      <c r="C208" s="28"/>
      <c r="D208" s="28"/>
      <c r="E208" s="25"/>
      <c r="F208" s="25"/>
      <c r="G208" s="25"/>
      <c r="H208" s="25"/>
      <c r="I208" s="25"/>
      <c r="J208" s="25"/>
      <c r="K208" s="25"/>
    </row>
    <row r="209" spans="1:11">
      <c r="A209" s="25"/>
      <c r="B209" s="26"/>
      <c r="C209" s="28"/>
      <c r="D209" s="28"/>
      <c r="E209" s="25"/>
      <c r="F209" s="25"/>
      <c r="G209" s="25"/>
      <c r="H209" s="25"/>
      <c r="I209" s="25"/>
      <c r="J209" s="25"/>
      <c r="K209" s="25"/>
    </row>
    <row r="210" spans="1:11">
      <c r="A210" s="25"/>
      <c r="B210" s="26"/>
      <c r="C210" s="28"/>
      <c r="D210" s="28"/>
      <c r="E210" s="25"/>
      <c r="F210" s="25"/>
      <c r="G210" s="25"/>
      <c r="H210" s="25"/>
      <c r="I210" s="25"/>
      <c r="J210" s="25"/>
      <c r="K210" s="25"/>
    </row>
    <row r="211" spans="1:11">
      <c r="A211" s="25"/>
      <c r="B211" s="26"/>
      <c r="C211" s="28"/>
      <c r="D211" s="28"/>
      <c r="E211" s="25"/>
      <c r="F211" s="25"/>
      <c r="G211" s="25"/>
      <c r="H211" s="25"/>
      <c r="I211" s="25"/>
      <c r="J211" s="25"/>
      <c r="K211" s="25"/>
    </row>
    <row r="212" spans="1:11">
      <c r="A212" s="25"/>
      <c r="B212" s="26"/>
      <c r="C212" s="28"/>
      <c r="D212" s="28"/>
      <c r="E212" s="25"/>
      <c r="F212" s="25"/>
      <c r="G212" s="25"/>
      <c r="H212" s="25"/>
      <c r="I212" s="25"/>
      <c r="J212" s="25"/>
      <c r="K212" s="25"/>
    </row>
    <row r="213" spans="1:11">
      <c r="A213" s="25"/>
      <c r="B213" s="26"/>
      <c r="C213" s="28"/>
      <c r="D213" s="28"/>
      <c r="E213" s="25"/>
      <c r="F213" s="25"/>
      <c r="G213" s="25"/>
      <c r="H213" s="25"/>
      <c r="I213" s="25"/>
      <c r="J213" s="25"/>
      <c r="K213" s="25"/>
    </row>
    <row r="214" spans="1:11">
      <c r="A214" s="25"/>
      <c r="B214" s="26"/>
      <c r="C214" s="28"/>
      <c r="D214" s="28"/>
      <c r="E214" s="25"/>
      <c r="F214" s="25"/>
      <c r="G214" s="25"/>
      <c r="H214" s="25"/>
      <c r="I214" s="25"/>
      <c r="J214" s="25"/>
      <c r="K214" s="25"/>
    </row>
    <row r="215" spans="1:11">
      <c r="A215" s="25"/>
      <c r="B215" s="26"/>
      <c r="C215" s="28"/>
      <c r="D215" s="28"/>
      <c r="E215" s="25"/>
      <c r="F215" s="25"/>
      <c r="G215" s="25"/>
      <c r="H215" s="25"/>
      <c r="I215" s="25"/>
      <c r="J215" s="25"/>
      <c r="K215" s="25"/>
    </row>
    <row r="257" spans="3:3" ht="15.75">
      <c r="C257" s="142" t="s">
        <v>60</v>
      </c>
    </row>
    <row r="258" spans="3:3" ht="15.75">
      <c r="C258" s="142" t="s">
        <v>239</v>
      </c>
    </row>
    <row r="259" spans="3:3" ht="15.75">
      <c r="C259" s="142" t="s">
        <v>241</v>
      </c>
    </row>
    <row r="260" spans="3:3" ht="15.75">
      <c r="C260" s="142" t="s">
        <v>243</v>
      </c>
    </row>
    <row r="261" spans="3:3" ht="15.75">
      <c r="C261" s="142" t="s">
        <v>245</v>
      </c>
    </row>
    <row r="262" spans="3:3" ht="15.75">
      <c r="C262" s="142" t="s">
        <v>65</v>
      </c>
    </row>
    <row r="263" spans="3:3" ht="15.75">
      <c r="C263" s="142" t="s">
        <v>248</v>
      </c>
    </row>
    <row r="264" spans="3:3" ht="15.75">
      <c r="C264" s="142" t="s">
        <v>250</v>
      </c>
    </row>
    <row r="265" spans="3:3" ht="15.75">
      <c r="C265" s="142" t="s">
        <v>70</v>
      </c>
    </row>
    <row r="266" spans="3:3" ht="15.75">
      <c r="C266" s="144" t="s">
        <v>253</v>
      </c>
    </row>
    <row r="267" spans="3:3" ht="15.75">
      <c r="C267" s="142" t="s">
        <v>81</v>
      </c>
    </row>
    <row r="268" spans="3:3" ht="15.75">
      <c r="C268" s="142" t="s">
        <v>256</v>
      </c>
    </row>
    <row r="269" spans="3:3" ht="15.75">
      <c r="C269" s="142" t="s">
        <v>75</v>
      </c>
    </row>
    <row r="270" spans="3:3" ht="15.75">
      <c r="C270" s="142" t="s">
        <v>259</v>
      </c>
    </row>
    <row r="271" spans="3:3" ht="15.75">
      <c r="C271" s="142" t="s">
        <v>261</v>
      </c>
    </row>
    <row r="272" spans="3:3" ht="15.75">
      <c r="C272" s="142" t="s">
        <v>263</v>
      </c>
    </row>
    <row r="273" spans="3:3" ht="15.75">
      <c r="C273" s="142" t="s">
        <v>265</v>
      </c>
    </row>
    <row r="274" spans="3:3" ht="15.75">
      <c r="C274" s="142" t="s">
        <v>267</v>
      </c>
    </row>
    <row r="275" spans="3:3" ht="15.75">
      <c r="C275" s="142" t="s">
        <v>83</v>
      </c>
    </row>
    <row r="276" spans="3:3" ht="15.75">
      <c r="C276" s="142" t="s">
        <v>86</v>
      </c>
    </row>
    <row r="277" spans="3:3" ht="15.75">
      <c r="C277" s="142" t="s">
        <v>271</v>
      </c>
    </row>
    <row r="278" spans="3:3" ht="15.75">
      <c r="C278" s="142" t="s">
        <v>273</v>
      </c>
    </row>
    <row r="279" spans="3:3">
      <c r="C279" s="133"/>
    </row>
    <row r="280" spans="3:3">
      <c r="C280" s="133"/>
    </row>
    <row r="281" spans="3:3">
      <c r="C281" s="133"/>
    </row>
    <row r="282" spans="3:3">
      <c r="C282" s="133"/>
    </row>
  </sheetData>
  <protectedRanges>
    <protectedRange sqref="D16:D23" name="Range1"/>
  </protectedRanges>
  <mergeCells count="77">
    <mergeCell ref="CR57:CR58"/>
    <mergeCell ref="CS57:CZ57"/>
    <mergeCell ref="BF57:BM57"/>
    <mergeCell ref="BR57:BR58"/>
    <mergeCell ref="BS57:BZ57"/>
    <mergeCell ref="CE57:CE58"/>
    <mergeCell ref="CF57:CM57"/>
    <mergeCell ref="AE57:AE58"/>
    <mergeCell ref="AF57:AM57"/>
    <mergeCell ref="AR57:AR58"/>
    <mergeCell ref="AS57:AZ57"/>
    <mergeCell ref="BE57:BE58"/>
    <mergeCell ref="F8:H8"/>
    <mergeCell ref="A1:B1"/>
    <mergeCell ref="A2:B2"/>
    <mergeCell ref="A3:B3"/>
    <mergeCell ref="A4:B4"/>
    <mergeCell ref="A5:B5"/>
    <mergeCell ref="C3:D3"/>
    <mergeCell ref="C4:D4"/>
    <mergeCell ref="A6:I6"/>
    <mergeCell ref="A7:A9"/>
    <mergeCell ref="B7:B9"/>
    <mergeCell ref="C7:C8"/>
    <mergeCell ref="D7:I7"/>
    <mergeCell ref="H42:I42"/>
    <mergeCell ref="A33:I33"/>
    <mergeCell ref="A34:A36"/>
    <mergeCell ref="B34:B36"/>
    <mergeCell ref="C34:I34"/>
    <mergeCell ref="E35:G35"/>
    <mergeCell ref="H35:I35"/>
    <mergeCell ref="H36:I36"/>
    <mergeCell ref="H37:I37"/>
    <mergeCell ref="H38:I38"/>
    <mergeCell ref="H39:I39"/>
    <mergeCell ref="H40:I40"/>
    <mergeCell ref="H41:I41"/>
    <mergeCell ref="H43:I43"/>
    <mergeCell ref="A45:I45"/>
    <mergeCell ref="A46:A48"/>
    <mergeCell ref="B46:E46"/>
    <mergeCell ref="F46:F48"/>
    <mergeCell ref="G46:J46"/>
    <mergeCell ref="E57:E58"/>
    <mergeCell ref="F57:F58"/>
    <mergeCell ref="K46:K48"/>
    <mergeCell ref="B47:C47"/>
    <mergeCell ref="D47:E47"/>
    <mergeCell ref="G47:H47"/>
    <mergeCell ref="I47:J47"/>
    <mergeCell ref="A55:K55"/>
    <mergeCell ref="B57:B58"/>
    <mergeCell ref="C57:C58"/>
    <mergeCell ref="D57:D58"/>
    <mergeCell ref="K154:K155"/>
    <mergeCell ref="D1:I1"/>
    <mergeCell ref="D2:I2"/>
    <mergeCell ref="C5:D5"/>
    <mergeCell ref="E5:I5"/>
    <mergeCell ref="C110:C111"/>
    <mergeCell ref="D110:D111"/>
    <mergeCell ref="K110:K111"/>
    <mergeCell ref="A153:K153"/>
    <mergeCell ref="G57:G58"/>
    <mergeCell ref="H57:H58"/>
    <mergeCell ref="I57:I58"/>
    <mergeCell ref="J57:J58"/>
    <mergeCell ref="K57:K58"/>
    <mergeCell ref="A109:K109"/>
    <mergeCell ref="A57:A58"/>
    <mergeCell ref="A154:A155"/>
    <mergeCell ref="B154:B155"/>
    <mergeCell ref="C154:C155"/>
    <mergeCell ref="D154:D155"/>
    <mergeCell ref="A110:A111"/>
    <mergeCell ref="B110:B111"/>
  </mergeCells>
  <dataValidations count="7">
    <dataValidation type="list" allowBlank="1" showInputMessage="1" showErrorMessage="1" sqref="C1">
      <formula1>"Principal,Head Master"</formula1>
    </dataValidation>
    <dataValidation type="list" allowBlank="1" showInputMessage="1" showErrorMessage="1" sqref="I59:J108">
      <formula1>"YES,NO"</formula1>
    </dataValidation>
    <dataValidation type="list" allowBlank="1" showInputMessage="1" showErrorMessage="1" sqref="H59:H108">
      <formula1>"MALE,FEMALE"</formula1>
    </dataValidation>
    <dataValidation type="list" allowBlank="1" showInputMessage="1" showErrorMessage="1" sqref="K59:K108">
      <formula1>"GAZETTED - REGULAR,NON GAZETTED - REGULAR,GAZETTED - FIX PAY,NON GAZETTED - FIX PAY,GAZETTED - SANVIDA,NON GAZETTED - SANVIDA"</formula1>
    </dataValidation>
    <dataValidation type="list" allowBlank="1" showInputMessage="1" showErrorMessage="1" sqref="C152">
      <formula1>$C$257:$C$279</formula1>
    </dataValidation>
    <dataValidation type="list" allowBlank="1" showInputMessage="1" showErrorMessage="1" sqref="C156:C195 C59:C108 C112:C151">
      <formula1>$C$257:$C$282</formula1>
    </dataValidation>
    <dataValidation type="list" allowBlank="1" showInputMessage="1" showErrorMessage="1" sqref="C5:D5">
      <formula1>$AI$4:$AI$16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R38"/>
  <sheetViews>
    <sheetView workbookViewId="0">
      <selection activeCell="P35" sqref="P35:R37"/>
    </sheetView>
  </sheetViews>
  <sheetFormatPr defaultRowHeight="15"/>
  <cols>
    <col min="1" max="1" width="6" style="337" customWidth="1"/>
    <col min="2" max="2" width="18.140625" style="337" customWidth="1"/>
    <col min="3" max="3" width="13.85546875" style="337" customWidth="1"/>
    <col min="4" max="4" width="18.42578125" style="337" customWidth="1"/>
    <col min="5" max="5" width="7" style="337" customWidth="1"/>
    <col min="6" max="6" width="9" style="337" customWidth="1"/>
    <col min="7" max="13" width="8.28515625" style="337" customWidth="1"/>
    <col min="14" max="15" width="10.7109375" style="337" customWidth="1"/>
    <col min="16" max="16" width="10.42578125" style="337" customWidth="1"/>
    <col min="17" max="17" width="7.42578125" style="337" customWidth="1"/>
    <col min="18" max="18" width="11.85546875" style="337" customWidth="1"/>
    <col min="19" max="16384" width="9.140625" style="337"/>
  </cols>
  <sheetData>
    <row r="1" spans="1:18" ht="15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684">
        <f>Summary!$C$1</f>
        <v>30695</v>
      </c>
      <c r="P1" s="684"/>
      <c r="Q1" s="684"/>
      <c r="R1" s="684"/>
    </row>
    <row r="2" spans="1:18" ht="20.25">
      <c r="A2" s="685" t="str">
        <f>Summary!A2</f>
        <v>iz/kkukpk;Z jktdh; vkn'kZ mPp ek/;fed fo|ky; bdygjk ¼ Mhx ½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</row>
    <row r="3" spans="1:18" ht="18.75">
      <c r="A3" s="686" t="s">
        <v>388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</row>
    <row r="4" spans="1:18" ht="20.25">
      <c r="A4" s="685" t="s">
        <v>425</v>
      </c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</row>
    <row r="5" spans="1:18">
      <c r="A5" s="682" t="str">
        <f>Summary!A5</f>
        <v>BUDGET HEAD : 2202-GENERAL EDUCATION, 02-SECONDARY EDUCATION, 109-GOVT. SEC. SCHOOL, (01)-BOYS SCHOOL (STATE FUND)</v>
      </c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3" t="s">
        <v>340</v>
      </c>
      <c r="Q5" s="683"/>
      <c r="R5" s="683"/>
    </row>
    <row r="6" spans="1:18" ht="79.5" customHeight="1">
      <c r="A6" s="343" t="s">
        <v>8</v>
      </c>
      <c r="B6" s="343" t="s">
        <v>390</v>
      </c>
      <c r="C6" s="343" t="s">
        <v>426</v>
      </c>
      <c r="D6" s="343" t="s">
        <v>392</v>
      </c>
      <c r="E6" s="343" t="s">
        <v>393</v>
      </c>
      <c r="F6" s="343" t="s">
        <v>427</v>
      </c>
      <c r="G6" s="343" t="s">
        <v>428</v>
      </c>
      <c r="H6" s="343" t="s">
        <v>429</v>
      </c>
      <c r="I6" s="343" t="s">
        <v>430</v>
      </c>
      <c r="J6" s="343" t="s">
        <v>429</v>
      </c>
      <c r="K6" s="343" t="s">
        <v>431</v>
      </c>
      <c r="L6" s="343" t="s">
        <v>429</v>
      </c>
      <c r="M6" s="343" t="s">
        <v>432</v>
      </c>
      <c r="N6" s="343" t="s">
        <v>429</v>
      </c>
      <c r="O6" s="343" t="s">
        <v>433</v>
      </c>
      <c r="P6" s="343" t="s">
        <v>429</v>
      </c>
      <c r="Q6" s="343" t="s">
        <v>434</v>
      </c>
      <c r="R6" s="343" t="s">
        <v>429</v>
      </c>
    </row>
    <row r="7" spans="1:18" s="338" customFormat="1">
      <c r="A7" s="350">
        <v>1</v>
      </c>
      <c r="B7" s="350">
        <v>2</v>
      </c>
      <c r="C7" s="350">
        <v>3</v>
      </c>
      <c r="D7" s="350">
        <v>4</v>
      </c>
      <c r="E7" s="350">
        <v>5</v>
      </c>
      <c r="F7" s="350">
        <v>6</v>
      </c>
      <c r="G7" s="350">
        <v>7</v>
      </c>
      <c r="H7" s="350">
        <v>8</v>
      </c>
      <c r="I7" s="350">
        <v>9</v>
      </c>
      <c r="J7" s="350">
        <v>10</v>
      </c>
      <c r="K7" s="350">
        <v>11</v>
      </c>
      <c r="L7" s="350">
        <v>12</v>
      </c>
      <c r="M7" s="350">
        <v>13</v>
      </c>
      <c r="N7" s="350">
        <v>14</v>
      </c>
      <c r="O7" s="350">
        <v>15</v>
      </c>
      <c r="P7" s="350">
        <v>16</v>
      </c>
      <c r="Q7" s="350">
        <v>17</v>
      </c>
      <c r="R7" s="350">
        <v>18</v>
      </c>
    </row>
    <row r="8" spans="1:18" s="338" customFormat="1" ht="15" customHeight="1">
      <c r="A8" s="343">
        <f>IF(F8&gt;=1,1,0)</f>
        <v>0</v>
      </c>
      <c r="B8" s="343" t="s">
        <v>399</v>
      </c>
      <c r="C8" s="351" t="str">
        <f>'[1]Data Entry'!C$5</f>
        <v>NON PLAN - BOYS</v>
      </c>
      <c r="D8" s="351" t="s">
        <v>60</v>
      </c>
      <c r="E8" s="352" t="s">
        <v>400</v>
      </c>
      <c r="F8" s="353">
        <f>'[1](4) Format 1(A)'!Q9</f>
        <v>0</v>
      </c>
      <c r="G8" s="354" t="s">
        <v>436</v>
      </c>
      <c r="H8" s="354" t="s">
        <v>436</v>
      </c>
      <c r="I8" s="354" t="s">
        <v>436</v>
      </c>
      <c r="J8" s="354" t="s">
        <v>436</v>
      </c>
      <c r="K8" s="354" t="s">
        <v>436</v>
      </c>
      <c r="L8" s="354" t="s">
        <v>436</v>
      </c>
      <c r="M8" s="354">
        <f>SUMIF('Formet 8'!F$12:F$116,'Format 1A'!D9,'Formet 8'!BX$12:BX$116)</f>
        <v>0</v>
      </c>
      <c r="N8" s="354">
        <f>SUMIF('Formet 8'!F$12:F$116,'Format 1A'!D9,'Formet 8'!BY$12:BY$116)</f>
        <v>0</v>
      </c>
      <c r="O8" s="354" t="s">
        <v>436</v>
      </c>
      <c r="P8" s="354" t="s">
        <v>436</v>
      </c>
      <c r="Q8" s="354" t="s">
        <v>436</v>
      </c>
      <c r="R8" s="354" t="s">
        <v>436</v>
      </c>
    </row>
    <row r="9" spans="1:18" s="338" customFormat="1" ht="15.75">
      <c r="A9" s="343">
        <f>IF(F9&gt;=1,1,0)+A8</f>
        <v>0</v>
      </c>
      <c r="B9" s="343" t="s">
        <v>399</v>
      </c>
      <c r="C9" s="351" t="str">
        <f>'[1]Data Entry'!C$5</f>
        <v>NON PLAN - BOYS</v>
      </c>
      <c r="D9" s="351" t="s">
        <v>239</v>
      </c>
      <c r="E9" s="352" t="s">
        <v>402</v>
      </c>
      <c r="F9" s="353">
        <f>'[1](4) Format 1(A)'!Q10</f>
        <v>0</v>
      </c>
      <c r="G9" s="354" t="s">
        <v>436</v>
      </c>
      <c r="H9" s="354" t="s">
        <v>436</v>
      </c>
      <c r="I9" s="354" t="s">
        <v>436</v>
      </c>
      <c r="J9" s="354" t="s">
        <v>436</v>
      </c>
      <c r="K9" s="354" t="s">
        <v>436</v>
      </c>
      <c r="L9" s="354" t="s">
        <v>436</v>
      </c>
      <c r="M9" s="354">
        <f>SUMIF('Formet 8'!F$12:F$116,'Format 1A'!D10,'Formet 8'!BX$12:BX$116)</f>
        <v>0</v>
      </c>
      <c r="N9" s="354">
        <f>SUMIF('Formet 8'!F$12:F$116,'Format 1A'!D10,'Formet 8'!BY$12:BY$116)</f>
        <v>0</v>
      </c>
      <c r="O9" s="354" t="s">
        <v>436</v>
      </c>
      <c r="P9" s="354" t="s">
        <v>436</v>
      </c>
      <c r="Q9" s="354" t="s">
        <v>436</v>
      </c>
      <c r="R9" s="354" t="s">
        <v>436</v>
      </c>
    </row>
    <row r="10" spans="1:18" s="338" customFormat="1" ht="15.75">
      <c r="A10" s="343">
        <f t="shared" ref="A10:A30" si="0">IF(F10&gt;=1,1,0)+A9</f>
        <v>0</v>
      </c>
      <c r="B10" s="343" t="s">
        <v>399</v>
      </c>
      <c r="C10" s="351" t="str">
        <f>'[1]Data Entry'!C$5</f>
        <v>NON PLAN - BOYS</v>
      </c>
      <c r="D10" s="351" t="s">
        <v>241</v>
      </c>
      <c r="E10" s="352" t="s">
        <v>403</v>
      </c>
      <c r="F10" s="353">
        <f>'[1](4) Format 1(A)'!Q11</f>
        <v>0</v>
      </c>
      <c r="G10" s="354" t="s">
        <v>436</v>
      </c>
      <c r="H10" s="354" t="s">
        <v>436</v>
      </c>
      <c r="I10" s="354" t="s">
        <v>436</v>
      </c>
      <c r="J10" s="354" t="s">
        <v>436</v>
      </c>
      <c r="K10" s="354" t="s">
        <v>436</v>
      </c>
      <c r="L10" s="354" t="s">
        <v>436</v>
      </c>
      <c r="M10" s="354">
        <f>SUMIF('Formet 8'!F$12:F$116,'Format 1A'!D11,'Formet 8'!BX$12:BX$116)</f>
        <v>0</v>
      </c>
      <c r="N10" s="354">
        <f>SUMIF('Formet 8'!F$12:F$116,'Format 1A'!D11,'Formet 8'!BY$12:BY$116)</f>
        <v>0</v>
      </c>
      <c r="O10" s="354" t="s">
        <v>436</v>
      </c>
      <c r="P10" s="354" t="s">
        <v>436</v>
      </c>
      <c r="Q10" s="354" t="s">
        <v>436</v>
      </c>
      <c r="R10" s="354" t="s">
        <v>436</v>
      </c>
    </row>
    <row r="11" spans="1:18" s="338" customFormat="1" ht="15.75">
      <c r="A11" s="343">
        <f t="shared" si="0"/>
        <v>0</v>
      </c>
      <c r="B11" s="343" t="s">
        <v>399</v>
      </c>
      <c r="C11" s="351" t="str">
        <f>'[1]Data Entry'!C$5</f>
        <v>NON PLAN - BOYS</v>
      </c>
      <c r="D11" s="351" t="s">
        <v>65</v>
      </c>
      <c r="E11" s="352" t="s">
        <v>403</v>
      </c>
      <c r="F11" s="353">
        <f>'[1](4) Format 1(A)'!Q12</f>
        <v>0</v>
      </c>
      <c r="G11" s="354" t="s">
        <v>436</v>
      </c>
      <c r="H11" s="354" t="s">
        <v>436</v>
      </c>
      <c r="I11" s="354" t="s">
        <v>436</v>
      </c>
      <c r="J11" s="354" t="s">
        <v>436</v>
      </c>
      <c r="K11" s="354" t="s">
        <v>436</v>
      </c>
      <c r="L11" s="354" t="s">
        <v>436</v>
      </c>
      <c r="M11" s="354">
        <f>SUMIF('Formet 8'!F$12:F$116,'Format 1A'!D12,'Formet 8'!BX$12:BX$116)</f>
        <v>0</v>
      </c>
      <c r="N11" s="354">
        <f>SUMIF('Formet 8'!F$12:F$116,'Format 1A'!D12,'Formet 8'!BY$12:BY$116)</f>
        <v>0</v>
      </c>
      <c r="O11" s="354" t="s">
        <v>436</v>
      </c>
      <c r="P11" s="354" t="s">
        <v>436</v>
      </c>
      <c r="Q11" s="354" t="s">
        <v>436</v>
      </c>
      <c r="R11" s="354" t="s">
        <v>436</v>
      </c>
    </row>
    <row r="12" spans="1:18" s="338" customFormat="1" ht="15.75">
      <c r="A12" s="343">
        <f t="shared" si="0"/>
        <v>0</v>
      </c>
      <c r="B12" s="343" t="s">
        <v>399</v>
      </c>
      <c r="C12" s="351" t="str">
        <f>'[1]Data Entry'!C$5</f>
        <v>NON PLAN - BOYS</v>
      </c>
      <c r="D12" s="355" t="s">
        <v>437</v>
      </c>
      <c r="E12" s="352" t="s">
        <v>403</v>
      </c>
      <c r="F12" s="353">
        <f>'[1](4) Format 1(A)'!Q13</f>
        <v>0</v>
      </c>
      <c r="G12" s="354" t="s">
        <v>436</v>
      </c>
      <c r="H12" s="354" t="s">
        <v>436</v>
      </c>
      <c r="I12" s="354" t="s">
        <v>436</v>
      </c>
      <c r="J12" s="354" t="s">
        <v>436</v>
      </c>
      <c r="K12" s="354" t="s">
        <v>436</v>
      </c>
      <c r="L12" s="354" t="s">
        <v>436</v>
      </c>
      <c r="M12" s="354">
        <f>SUMIF('Formet 8'!F$12:F$116,'Format 1A'!D13,'Formet 8'!BX$12:BX$116)</f>
        <v>0</v>
      </c>
      <c r="N12" s="354">
        <f>SUMIF('Formet 8'!F$12:F$116,'Format 1A'!D13,'Formet 8'!BY$12:BY$116)</f>
        <v>0</v>
      </c>
      <c r="O12" s="354" t="s">
        <v>436</v>
      </c>
      <c r="P12" s="354" t="s">
        <v>436</v>
      </c>
      <c r="Q12" s="354" t="s">
        <v>436</v>
      </c>
      <c r="R12" s="354" t="s">
        <v>436</v>
      </c>
    </row>
    <row r="13" spans="1:18" s="338" customFormat="1" ht="15.75">
      <c r="A13" s="343">
        <f t="shared" si="0"/>
        <v>0</v>
      </c>
      <c r="B13" s="343" t="s">
        <v>399</v>
      </c>
      <c r="C13" s="351" t="str">
        <f>'[1]Data Entry'!C$5</f>
        <v>NON PLAN - BOYS</v>
      </c>
      <c r="D13" s="351" t="s">
        <v>243</v>
      </c>
      <c r="E13" s="352" t="s">
        <v>403</v>
      </c>
      <c r="F13" s="353">
        <f>'[1](4) Format 1(A)'!Q14</f>
        <v>0</v>
      </c>
      <c r="G13" s="354" t="s">
        <v>436</v>
      </c>
      <c r="H13" s="354" t="s">
        <v>436</v>
      </c>
      <c r="I13" s="354" t="s">
        <v>436</v>
      </c>
      <c r="J13" s="354" t="s">
        <v>436</v>
      </c>
      <c r="K13" s="354" t="s">
        <v>436</v>
      </c>
      <c r="L13" s="354" t="s">
        <v>436</v>
      </c>
      <c r="M13" s="354">
        <f>SUMIF('Formet 8'!F$12:F$116,'Format 1A'!D14,'Formet 8'!BX$12:BX$116)</f>
        <v>0</v>
      </c>
      <c r="N13" s="354">
        <f>SUMIF('Formet 8'!F$12:F$116,'Format 1A'!D14,'Formet 8'!BY$12:BY$116)</f>
        <v>0</v>
      </c>
      <c r="O13" s="354" t="s">
        <v>436</v>
      </c>
      <c r="P13" s="354" t="s">
        <v>436</v>
      </c>
      <c r="Q13" s="354" t="s">
        <v>436</v>
      </c>
      <c r="R13" s="354" t="s">
        <v>436</v>
      </c>
    </row>
    <row r="14" spans="1:18" s="338" customFormat="1" ht="15.75">
      <c r="A14" s="343">
        <f t="shared" si="0"/>
        <v>0</v>
      </c>
      <c r="B14" s="343" t="s">
        <v>399</v>
      </c>
      <c r="C14" s="351" t="str">
        <f>'[1]Data Entry'!C$5</f>
        <v>NON PLAN - BOYS</v>
      </c>
      <c r="D14" s="351" t="s">
        <v>245</v>
      </c>
      <c r="E14" s="352" t="s">
        <v>403</v>
      </c>
      <c r="F14" s="353">
        <f>'[1](4) Format 1(A)'!Q15</f>
        <v>0</v>
      </c>
      <c r="G14" s="354" t="s">
        <v>436</v>
      </c>
      <c r="H14" s="354" t="s">
        <v>436</v>
      </c>
      <c r="I14" s="354" t="s">
        <v>436</v>
      </c>
      <c r="J14" s="354" t="s">
        <v>436</v>
      </c>
      <c r="K14" s="354" t="s">
        <v>436</v>
      </c>
      <c r="L14" s="354" t="s">
        <v>436</v>
      </c>
      <c r="M14" s="354">
        <f>SUMIF('Formet 8'!F$12:F$116,'Format 1A'!D15,'Formet 8'!BX$12:BX$116)</f>
        <v>0</v>
      </c>
      <c r="N14" s="354">
        <f>SUMIF('Formet 8'!F$12:F$116,'Format 1A'!D15,'Formet 8'!BY$12:BY$116)</f>
        <v>0</v>
      </c>
      <c r="O14" s="354" t="s">
        <v>436</v>
      </c>
      <c r="P14" s="354" t="s">
        <v>436</v>
      </c>
      <c r="Q14" s="354" t="s">
        <v>436</v>
      </c>
      <c r="R14" s="354" t="s">
        <v>436</v>
      </c>
    </row>
    <row r="15" spans="1:18" s="338" customFormat="1" ht="15.75">
      <c r="A15" s="343">
        <f t="shared" si="0"/>
        <v>0</v>
      </c>
      <c r="B15" s="343" t="s">
        <v>399</v>
      </c>
      <c r="C15" s="351" t="str">
        <f>'[1]Data Entry'!C$5</f>
        <v>NON PLAN - BOYS</v>
      </c>
      <c r="D15" s="351" t="s">
        <v>248</v>
      </c>
      <c r="E15" s="352" t="s">
        <v>403</v>
      </c>
      <c r="F15" s="353">
        <f>'[1](4) Format 1(A)'!Q16</f>
        <v>0</v>
      </c>
      <c r="G15" s="354" t="s">
        <v>436</v>
      </c>
      <c r="H15" s="354" t="s">
        <v>436</v>
      </c>
      <c r="I15" s="354" t="s">
        <v>436</v>
      </c>
      <c r="J15" s="354" t="s">
        <v>436</v>
      </c>
      <c r="K15" s="354" t="s">
        <v>436</v>
      </c>
      <c r="L15" s="354" t="s">
        <v>436</v>
      </c>
      <c r="M15" s="354">
        <f>SUMIF('Formet 8'!F$12:F$116,'Format 1A'!D16,'Formet 8'!BX$12:BX$116)</f>
        <v>0</v>
      </c>
      <c r="N15" s="354">
        <f>SUMIF('Formet 8'!F$12:F$116,'Format 1A'!D16,'Formet 8'!BY$12:BY$116)</f>
        <v>0</v>
      </c>
      <c r="O15" s="354" t="s">
        <v>436</v>
      </c>
      <c r="P15" s="354" t="s">
        <v>436</v>
      </c>
      <c r="Q15" s="354" t="s">
        <v>436</v>
      </c>
      <c r="R15" s="354" t="s">
        <v>436</v>
      </c>
    </row>
    <row r="16" spans="1:18" s="338" customFormat="1" ht="15.75">
      <c r="A16" s="343">
        <f t="shared" si="0"/>
        <v>0</v>
      </c>
      <c r="B16" s="343" t="s">
        <v>399</v>
      </c>
      <c r="C16" s="351" t="str">
        <f>'[1]Data Entry'!C$5</f>
        <v>NON PLAN - BOYS</v>
      </c>
      <c r="D16" s="351" t="s">
        <v>261</v>
      </c>
      <c r="E16" s="352" t="s">
        <v>404</v>
      </c>
      <c r="F16" s="353">
        <f>'[1](4) Format 1(A)'!Q17</f>
        <v>0</v>
      </c>
      <c r="G16" s="354" t="s">
        <v>436</v>
      </c>
      <c r="H16" s="354" t="s">
        <v>436</v>
      </c>
      <c r="I16" s="354" t="s">
        <v>436</v>
      </c>
      <c r="J16" s="354" t="s">
        <v>436</v>
      </c>
      <c r="K16" s="354" t="s">
        <v>436</v>
      </c>
      <c r="L16" s="354" t="s">
        <v>436</v>
      </c>
      <c r="M16" s="354">
        <f>SUMIF('Formet 8'!F$12:F$116,'Format 1A'!D17,'Formet 8'!BX$12:BX$116)</f>
        <v>0</v>
      </c>
      <c r="N16" s="354">
        <f>SUMIF('Formet 8'!F$12:F$116,'Format 1A'!D17,'Formet 8'!BY$12:BY$116)</f>
        <v>0</v>
      </c>
      <c r="O16" s="354" t="s">
        <v>436</v>
      </c>
      <c r="P16" s="354" t="s">
        <v>436</v>
      </c>
      <c r="Q16" s="354" t="s">
        <v>436</v>
      </c>
      <c r="R16" s="354" t="s">
        <v>436</v>
      </c>
    </row>
    <row r="17" spans="1:18" s="338" customFormat="1" ht="15.75">
      <c r="A17" s="343">
        <f t="shared" si="0"/>
        <v>0</v>
      </c>
      <c r="B17" s="343" t="s">
        <v>399</v>
      </c>
      <c r="C17" s="351" t="str">
        <f>'[1]Data Entry'!C$5</f>
        <v>NON PLAN - BOYS</v>
      </c>
      <c r="D17" s="351" t="s">
        <v>70</v>
      </c>
      <c r="E17" s="352" t="s">
        <v>405</v>
      </c>
      <c r="F17" s="353">
        <f>'[1](4) Format 1(A)'!Q18</f>
        <v>0</v>
      </c>
      <c r="G17" s="354" t="s">
        <v>436</v>
      </c>
      <c r="H17" s="354" t="s">
        <v>436</v>
      </c>
      <c r="I17" s="354" t="s">
        <v>436</v>
      </c>
      <c r="J17" s="354" t="s">
        <v>436</v>
      </c>
      <c r="K17" s="354" t="s">
        <v>436</v>
      </c>
      <c r="L17" s="354" t="s">
        <v>436</v>
      </c>
      <c r="M17" s="354">
        <f>SUMIF('Formet 8'!F$12:F$116,'Format 1A'!D18,'Formet 8'!BX$12:BX$116)</f>
        <v>0</v>
      </c>
      <c r="N17" s="354">
        <f>SUMIF('Formet 8'!F$12:F$116,'Format 1A'!D18,'Formet 8'!BY$12:BY$116)</f>
        <v>0</v>
      </c>
      <c r="O17" s="354" t="s">
        <v>436</v>
      </c>
      <c r="P17" s="354" t="s">
        <v>436</v>
      </c>
      <c r="Q17" s="354" t="s">
        <v>436</v>
      </c>
      <c r="R17" s="354" t="s">
        <v>436</v>
      </c>
    </row>
    <row r="18" spans="1:18" s="338" customFormat="1" ht="15.75">
      <c r="A18" s="343">
        <f t="shared" si="0"/>
        <v>0</v>
      </c>
      <c r="B18" s="343" t="s">
        <v>399</v>
      </c>
      <c r="C18" s="351" t="str">
        <f>'[1]Data Entry'!C$5</f>
        <v>NON PLAN - BOYS</v>
      </c>
      <c r="D18" s="355" t="s">
        <v>253</v>
      </c>
      <c r="E18" s="352" t="s">
        <v>405</v>
      </c>
      <c r="F18" s="353">
        <f>'[1](4) Format 1(A)'!Q19</f>
        <v>0</v>
      </c>
      <c r="G18" s="354" t="s">
        <v>436</v>
      </c>
      <c r="H18" s="354" t="s">
        <v>436</v>
      </c>
      <c r="I18" s="354" t="s">
        <v>436</v>
      </c>
      <c r="J18" s="354" t="s">
        <v>436</v>
      </c>
      <c r="K18" s="354" t="s">
        <v>436</v>
      </c>
      <c r="L18" s="354" t="s">
        <v>436</v>
      </c>
      <c r="M18" s="354">
        <f>SUMIF('Formet 8'!F$12:F$116,'Format 1A'!D19,'Formet 8'!BX$12:BX$116)</f>
        <v>0</v>
      </c>
      <c r="N18" s="354">
        <f>SUMIF('Formet 8'!F$12:F$116,'Format 1A'!D19,'Formet 8'!BY$12:BY$116)</f>
        <v>0</v>
      </c>
      <c r="O18" s="354" t="s">
        <v>436</v>
      </c>
      <c r="P18" s="354" t="s">
        <v>436</v>
      </c>
      <c r="Q18" s="354" t="s">
        <v>436</v>
      </c>
      <c r="R18" s="354" t="s">
        <v>436</v>
      </c>
    </row>
    <row r="19" spans="1:18" s="338" customFormat="1" ht="15.75">
      <c r="A19" s="343">
        <f t="shared" si="0"/>
        <v>0</v>
      </c>
      <c r="B19" s="343" t="s">
        <v>399</v>
      </c>
      <c r="C19" s="351" t="str">
        <f>'[1]Data Entry'!C$5</f>
        <v>NON PLAN - BOYS</v>
      </c>
      <c r="D19" s="351" t="s">
        <v>81</v>
      </c>
      <c r="E19" s="352" t="s">
        <v>405</v>
      </c>
      <c r="F19" s="353">
        <f>'[1](4) Format 1(A)'!Q20</f>
        <v>0</v>
      </c>
      <c r="G19" s="354" t="s">
        <v>436</v>
      </c>
      <c r="H19" s="354" t="s">
        <v>436</v>
      </c>
      <c r="I19" s="354" t="s">
        <v>436</v>
      </c>
      <c r="J19" s="354" t="s">
        <v>436</v>
      </c>
      <c r="K19" s="354" t="s">
        <v>436</v>
      </c>
      <c r="L19" s="354" t="s">
        <v>436</v>
      </c>
      <c r="M19" s="354">
        <f>SUMIF('Formet 8'!F$12:F$116,'Format 1A'!D20,'Formet 8'!BX$12:BX$116)</f>
        <v>0</v>
      </c>
      <c r="N19" s="354">
        <f>SUMIF('Formet 8'!F$12:F$116,'Format 1A'!D20,'Formet 8'!BY$12:BY$116)</f>
        <v>0</v>
      </c>
      <c r="O19" s="354" t="s">
        <v>436</v>
      </c>
      <c r="P19" s="354" t="s">
        <v>436</v>
      </c>
      <c r="Q19" s="354" t="s">
        <v>436</v>
      </c>
      <c r="R19" s="354" t="s">
        <v>436</v>
      </c>
    </row>
    <row r="20" spans="1:18" s="338" customFormat="1" ht="15.75">
      <c r="A20" s="343">
        <f t="shared" si="0"/>
        <v>0</v>
      </c>
      <c r="B20" s="343" t="s">
        <v>399</v>
      </c>
      <c r="C20" s="351" t="str">
        <f>'[1]Data Entry'!C$5</f>
        <v>NON PLAN - BOYS</v>
      </c>
      <c r="D20" s="351" t="s">
        <v>263</v>
      </c>
      <c r="E20" s="352" t="s">
        <v>406</v>
      </c>
      <c r="F20" s="353">
        <f>'[1](4) Format 1(A)'!Q21</f>
        <v>0</v>
      </c>
      <c r="G20" s="354" t="s">
        <v>436</v>
      </c>
      <c r="H20" s="354" t="s">
        <v>436</v>
      </c>
      <c r="I20" s="354" t="s">
        <v>436</v>
      </c>
      <c r="J20" s="354" t="s">
        <v>436</v>
      </c>
      <c r="K20" s="354" t="s">
        <v>436</v>
      </c>
      <c r="L20" s="354" t="s">
        <v>436</v>
      </c>
      <c r="M20" s="354">
        <f>SUMIF('Formet 8'!F$12:F$116,'Format 1A'!D21,'Formet 8'!BX$12:BX$116)</f>
        <v>0</v>
      </c>
      <c r="N20" s="354">
        <f>SUMIF('Formet 8'!F$12:F$116,'Format 1A'!D21,'Formet 8'!BY$12:BY$116)</f>
        <v>0</v>
      </c>
      <c r="O20" s="354" t="s">
        <v>436</v>
      </c>
      <c r="P20" s="354" t="s">
        <v>436</v>
      </c>
      <c r="Q20" s="354" t="s">
        <v>436</v>
      </c>
      <c r="R20" s="354" t="s">
        <v>436</v>
      </c>
    </row>
    <row r="21" spans="1:18" s="338" customFormat="1" ht="15.75">
      <c r="A21" s="343">
        <f t="shared" si="0"/>
        <v>0</v>
      </c>
      <c r="B21" s="343" t="s">
        <v>399</v>
      </c>
      <c r="C21" s="351" t="str">
        <f>'[1]Data Entry'!C$5</f>
        <v>NON PLAN - BOYS</v>
      </c>
      <c r="D21" s="351" t="s">
        <v>265</v>
      </c>
      <c r="E21" s="352" t="s">
        <v>406</v>
      </c>
      <c r="F21" s="353">
        <f>'[1](4) Format 1(A)'!Q22</f>
        <v>0</v>
      </c>
      <c r="G21" s="354" t="s">
        <v>436</v>
      </c>
      <c r="H21" s="354" t="s">
        <v>436</v>
      </c>
      <c r="I21" s="354" t="s">
        <v>436</v>
      </c>
      <c r="J21" s="354" t="s">
        <v>436</v>
      </c>
      <c r="K21" s="354" t="s">
        <v>436</v>
      </c>
      <c r="L21" s="354" t="s">
        <v>436</v>
      </c>
      <c r="M21" s="354">
        <f>SUMIF('Formet 8'!F$12:F$116,'Format 1A'!D22,'Formet 8'!BX$12:BX$116)</f>
        <v>0</v>
      </c>
      <c r="N21" s="354">
        <f>SUMIF('Formet 8'!F$12:F$116,'Format 1A'!D22,'Formet 8'!BY$12:BY$116)</f>
        <v>0</v>
      </c>
      <c r="O21" s="354" t="s">
        <v>436</v>
      </c>
      <c r="P21" s="354" t="s">
        <v>436</v>
      </c>
      <c r="Q21" s="354" t="s">
        <v>436</v>
      </c>
      <c r="R21" s="354" t="s">
        <v>436</v>
      </c>
    </row>
    <row r="22" spans="1:18" s="338" customFormat="1" ht="15.75">
      <c r="A22" s="343">
        <f t="shared" si="0"/>
        <v>0</v>
      </c>
      <c r="B22" s="343" t="s">
        <v>399</v>
      </c>
      <c r="C22" s="351" t="str">
        <f>'[1]Data Entry'!C$5</f>
        <v>NON PLAN - BOYS</v>
      </c>
      <c r="D22" s="355" t="s">
        <v>438</v>
      </c>
      <c r="E22" s="352" t="s">
        <v>404</v>
      </c>
      <c r="F22" s="353">
        <f>'[1](4) Format 1(A)'!Q23</f>
        <v>0</v>
      </c>
      <c r="G22" s="354" t="s">
        <v>436</v>
      </c>
      <c r="H22" s="354" t="s">
        <v>436</v>
      </c>
      <c r="I22" s="354" t="s">
        <v>436</v>
      </c>
      <c r="J22" s="354" t="s">
        <v>436</v>
      </c>
      <c r="K22" s="354" t="s">
        <v>436</v>
      </c>
      <c r="L22" s="354" t="s">
        <v>436</v>
      </c>
      <c r="M22" s="354">
        <f>SUMIF('Formet 8'!F$12:F$116,'Format 1A'!D23,'Formet 8'!BX$12:BX$116)</f>
        <v>0</v>
      </c>
      <c r="N22" s="354">
        <f>SUMIF('Formet 8'!F$12:F$116,'Format 1A'!D23,'Formet 8'!BY$12:BY$116)</f>
        <v>0</v>
      </c>
      <c r="O22" s="354" t="s">
        <v>436</v>
      </c>
      <c r="P22" s="354" t="s">
        <v>436</v>
      </c>
      <c r="Q22" s="354" t="s">
        <v>436</v>
      </c>
      <c r="R22" s="354" t="s">
        <v>436</v>
      </c>
    </row>
    <row r="23" spans="1:18" s="338" customFormat="1" ht="15.75">
      <c r="A23" s="343">
        <f t="shared" si="0"/>
        <v>0</v>
      </c>
      <c r="B23" s="343" t="s">
        <v>399</v>
      </c>
      <c r="C23" s="351" t="str">
        <f>'[1]Data Entry'!C$5</f>
        <v>NON PLAN - BOYS</v>
      </c>
      <c r="D23" s="351" t="s">
        <v>75</v>
      </c>
      <c r="E23" s="352" t="s">
        <v>404</v>
      </c>
      <c r="F23" s="353">
        <f>'[1](4) Format 1(A)'!Q24</f>
        <v>0</v>
      </c>
      <c r="G23" s="354" t="s">
        <v>436</v>
      </c>
      <c r="H23" s="354" t="s">
        <v>436</v>
      </c>
      <c r="I23" s="354" t="s">
        <v>436</v>
      </c>
      <c r="J23" s="354" t="s">
        <v>436</v>
      </c>
      <c r="K23" s="354" t="s">
        <v>436</v>
      </c>
      <c r="L23" s="354" t="s">
        <v>436</v>
      </c>
      <c r="M23" s="354">
        <f>SUMIF('Formet 8'!F$12:F$116,'Format 1A'!D24,'Formet 8'!BX$12:BX$116)</f>
        <v>0</v>
      </c>
      <c r="N23" s="354">
        <f>SUMIF('Formet 8'!F$12:F$116,'Format 1A'!D24,'Formet 8'!BY$12:BY$116)</f>
        <v>0</v>
      </c>
      <c r="O23" s="354" t="s">
        <v>436</v>
      </c>
      <c r="P23" s="354" t="s">
        <v>436</v>
      </c>
      <c r="Q23" s="354" t="s">
        <v>436</v>
      </c>
      <c r="R23" s="354" t="s">
        <v>436</v>
      </c>
    </row>
    <row r="24" spans="1:18" s="338" customFormat="1" ht="15.75">
      <c r="A24" s="343">
        <f t="shared" si="0"/>
        <v>0</v>
      </c>
      <c r="B24" s="343" t="s">
        <v>399</v>
      </c>
      <c r="C24" s="351" t="str">
        <f>'[1]Data Entry'!C$5</f>
        <v>NON PLAN - BOYS</v>
      </c>
      <c r="D24" s="351" t="s">
        <v>256</v>
      </c>
      <c r="E24" s="352" t="s">
        <v>404</v>
      </c>
      <c r="F24" s="353">
        <f>'[1](4) Format 1(A)'!Q25</f>
        <v>0</v>
      </c>
      <c r="G24" s="354" t="s">
        <v>436</v>
      </c>
      <c r="H24" s="354" t="s">
        <v>436</v>
      </c>
      <c r="I24" s="354" t="s">
        <v>436</v>
      </c>
      <c r="J24" s="354" t="s">
        <v>436</v>
      </c>
      <c r="K24" s="354" t="s">
        <v>436</v>
      </c>
      <c r="L24" s="354" t="s">
        <v>436</v>
      </c>
      <c r="M24" s="354">
        <f>SUMIF('Formet 8'!F$12:F$116,'Format 1A'!D25,'Formet 8'!BX$12:BX$116)</f>
        <v>0</v>
      </c>
      <c r="N24" s="354">
        <f>SUMIF('Formet 8'!F$12:F$116,'Format 1A'!D25,'Formet 8'!BY$12:BY$116)</f>
        <v>0</v>
      </c>
      <c r="O24" s="354" t="s">
        <v>436</v>
      </c>
      <c r="P24" s="354" t="s">
        <v>436</v>
      </c>
      <c r="Q24" s="354" t="s">
        <v>436</v>
      </c>
      <c r="R24" s="354" t="s">
        <v>436</v>
      </c>
    </row>
    <row r="25" spans="1:18" s="338" customFormat="1" ht="15.75">
      <c r="A25" s="343">
        <f t="shared" si="0"/>
        <v>0</v>
      </c>
      <c r="B25" s="343" t="s">
        <v>399</v>
      </c>
      <c r="C25" s="351" t="str">
        <f>'[1]Data Entry'!C$5</f>
        <v>NON PLAN - BOYS</v>
      </c>
      <c r="D25" s="351" t="s">
        <v>263</v>
      </c>
      <c r="E25" s="352" t="s">
        <v>406</v>
      </c>
      <c r="F25" s="353">
        <f>'[1](4) Format 1(A)'!Q26</f>
        <v>0</v>
      </c>
      <c r="G25" s="354" t="s">
        <v>436</v>
      </c>
      <c r="H25" s="354" t="s">
        <v>436</v>
      </c>
      <c r="I25" s="354" t="s">
        <v>436</v>
      </c>
      <c r="J25" s="354" t="s">
        <v>436</v>
      </c>
      <c r="K25" s="354" t="s">
        <v>436</v>
      </c>
      <c r="L25" s="354" t="s">
        <v>436</v>
      </c>
      <c r="M25" s="354">
        <f>SUMIF('Formet 8'!F$12:F$116,'Format 1A'!D26,'Formet 8'!BX$12:BX$116)</f>
        <v>0</v>
      </c>
      <c r="N25" s="354">
        <f>SUMIF('Formet 8'!F$12:F$116,'Format 1A'!D26,'Formet 8'!BY$12:BY$116)</f>
        <v>0</v>
      </c>
      <c r="O25" s="354" t="s">
        <v>436</v>
      </c>
      <c r="P25" s="354" t="s">
        <v>436</v>
      </c>
      <c r="Q25" s="354" t="s">
        <v>436</v>
      </c>
      <c r="R25" s="354" t="s">
        <v>436</v>
      </c>
    </row>
    <row r="26" spans="1:18" s="338" customFormat="1" ht="15.75">
      <c r="A26" s="343">
        <f t="shared" si="0"/>
        <v>0</v>
      </c>
      <c r="B26" s="343" t="s">
        <v>399</v>
      </c>
      <c r="C26" s="351" t="str">
        <f>'[1]Data Entry'!C$5</f>
        <v>NON PLAN - BOYS</v>
      </c>
      <c r="D26" s="351" t="s">
        <v>83</v>
      </c>
      <c r="E26" s="352" t="s">
        <v>407</v>
      </c>
      <c r="F26" s="353">
        <f>'[1](4) Format 1(A)'!Q27</f>
        <v>0</v>
      </c>
      <c r="G26" s="354" t="s">
        <v>436</v>
      </c>
      <c r="H26" s="354" t="s">
        <v>436</v>
      </c>
      <c r="I26" s="354" t="s">
        <v>436</v>
      </c>
      <c r="J26" s="354" t="s">
        <v>436</v>
      </c>
      <c r="K26" s="354" t="s">
        <v>436</v>
      </c>
      <c r="L26" s="354" t="s">
        <v>436</v>
      </c>
      <c r="M26" s="354">
        <f>SUMIF('Formet 8'!F$12:F$116,'Format 1A'!D27,'Formet 8'!BX$12:BX$116)</f>
        <v>0</v>
      </c>
      <c r="N26" s="354">
        <f>SUMIF('Formet 8'!F$12:F$116,'Format 1A'!D27,'Formet 8'!BY$12:BY$116)</f>
        <v>0</v>
      </c>
      <c r="O26" s="354" t="s">
        <v>436</v>
      </c>
      <c r="P26" s="354" t="s">
        <v>436</v>
      </c>
      <c r="Q26" s="354" t="s">
        <v>436</v>
      </c>
      <c r="R26" s="354" t="s">
        <v>436</v>
      </c>
    </row>
    <row r="27" spans="1:18" s="338" customFormat="1" ht="15.75">
      <c r="A27" s="343">
        <f t="shared" si="0"/>
        <v>0</v>
      </c>
      <c r="B27" s="343" t="s">
        <v>399</v>
      </c>
      <c r="C27" s="351" t="str">
        <f>'[1]Data Entry'!C$5</f>
        <v>NON PLAN - BOYS</v>
      </c>
      <c r="D27" s="351" t="s">
        <v>267</v>
      </c>
      <c r="E27" s="352" t="s">
        <v>407</v>
      </c>
      <c r="F27" s="353">
        <f>'[1](4) Format 1(A)'!Q28</f>
        <v>0</v>
      </c>
      <c r="G27" s="354" t="s">
        <v>436</v>
      </c>
      <c r="H27" s="354" t="s">
        <v>436</v>
      </c>
      <c r="I27" s="354" t="s">
        <v>436</v>
      </c>
      <c r="J27" s="354" t="s">
        <v>436</v>
      </c>
      <c r="K27" s="354" t="s">
        <v>436</v>
      </c>
      <c r="L27" s="354" t="s">
        <v>436</v>
      </c>
      <c r="M27" s="354">
        <f>SUMIF('Formet 8'!F$12:F$116,'Format 1A'!D28,'Formet 8'!BX$12:BX$116)</f>
        <v>0</v>
      </c>
      <c r="N27" s="354">
        <f>SUMIF('Formet 8'!F$12:F$116,'Format 1A'!D28,'Formet 8'!BY$12:BY$116)</f>
        <v>0</v>
      </c>
      <c r="O27" s="354" t="s">
        <v>436</v>
      </c>
      <c r="P27" s="354" t="s">
        <v>436</v>
      </c>
      <c r="Q27" s="354" t="s">
        <v>436</v>
      </c>
      <c r="R27" s="354" t="s">
        <v>436</v>
      </c>
    </row>
    <row r="28" spans="1:18" s="338" customFormat="1" ht="15.75">
      <c r="A28" s="343">
        <f t="shared" si="0"/>
        <v>0</v>
      </c>
      <c r="B28" s="343" t="s">
        <v>399</v>
      </c>
      <c r="C28" s="351" t="str">
        <f>'[1]Data Entry'!C$5</f>
        <v>NON PLAN - BOYS</v>
      </c>
      <c r="D28" s="351" t="s">
        <v>273</v>
      </c>
      <c r="E28" s="352" t="s">
        <v>408</v>
      </c>
      <c r="F28" s="353">
        <f>'[1](4) Format 1(A)'!Q29</f>
        <v>0</v>
      </c>
      <c r="G28" s="354" t="s">
        <v>436</v>
      </c>
      <c r="H28" s="354" t="s">
        <v>436</v>
      </c>
      <c r="I28" s="354" t="s">
        <v>436</v>
      </c>
      <c r="J28" s="354" t="s">
        <v>436</v>
      </c>
      <c r="K28" s="354" t="s">
        <v>436</v>
      </c>
      <c r="L28" s="354" t="s">
        <v>436</v>
      </c>
      <c r="M28" s="354">
        <f>SUMIF('Formet 8'!F$12:F$116,'Format 1A'!D29,'Formet 8'!BX$12:BX$116)</f>
        <v>0</v>
      </c>
      <c r="N28" s="354">
        <f>SUMIF('Formet 8'!F$12:F$116,'Format 1A'!D29,'Formet 8'!BY$12:BY$116)</f>
        <v>0</v>
      </c>
      <c r="O28" s="354" t="s">
        <v>436</v>
      </c>
      <c r="P28" s="354" t="s">
        <v>436</v>
      </c>
      <c r="Q28" s="354" t="s">
        <v>436</v>
      </c>
      <c r="R28" s="354" t="s">
        <v>436</v>
      </c>
    </row>
    <row r="29" spans="1:18" s="338" customFormat="1" ht="15.75">
      <c r="A29" s="343">
        <f t="shared" si="0"/>
        <v>0</v>
      </c>
      <c r="B29" s="343" t="s">
        <v>399</v>
      </c>
      <c r="C29" s="351" t="str">
        <f>'[1]Data Entry'!C$5</f>
        <v>NON PLAN - BOYS</v>
      </c>
      <c r="D29" s="351" t="s">
        <v>271</v>
      </c>
      <c r="E29" s="352" t="s">
        <v>408</v>
      </c>
      <c r="F29" s="353">
        <f>'[1](4) Format 1(A)'!Q30</f>
        <v>0</v>
      </c>
      <c r="G29" s="354" t="s">
        <v>436</v>
      </c>
      <c r="H29" s="354" t="s">
        <v>436</v>
      </c>
      <c r="I29" s="354" t="s">
        <v>436</v>
      </c>
      <c r="J29" s="354" t="s">
        <v>436</v>
      </c>
      <c r="K29" s="354" t="s">
        <v>436</v>
      </c>
      <c r="L29" s="354" t="s">
        <v>436</v>
      </c>
      <c r="M29" s="354">
        <f>SUMIF('Formet 8'!F$12:F$116,'Format 1A'!D30,'Formet 8'!BX$12:BX$116)</f>
        <v>0</v>
      </c>
      <c r="N29" s="354">
        <f>SUMIF('Formet 8'!F$12:F$116,'Format 1A'!D30,'Formet 8'!BY$12:BY$116)</f>
        <v>0</v>
      </c>
      <c r="O29" s="354" t="s">
        <v>436</v>
      </c>
      <c r="P29" s="354" t="s">
        <v>436</v>
      </c>
      <c r="Q29" s="354" t="s">
        <v>436</v>
      </c>
      <c r="R29" s="354" t="s">
        <v>436</v>
      </c>
    </row>
    <row r="30" spans="1:18" s="338" customFormat="1" ht="15.75">
      <c r="A30" s="343">
        <f t="shared" si="0"/>
        <v>0</v>
      </c>
      <c r="B30" s="343" t="s">
        <v>399</v>
      </c>
      <c r="C30" s="334"/>
      <c r="D30" s="351"/>
      <c r="E30" s="352"/>
      <c r="F30" s="353">
        <f>'Format 1A'!Q31</f>
        <v>0</v>
      </c>
      <c r="G30" s="354" t="s">
        <v>436</v>
      </c>
      <c r="H30" s="354" t="s">
        <v>436</v>
      </c>
      <c r="I30" s="354" t="s">
        <v>436</v>
      </c>
      <c r="J30" s="354" t="s">
        <v>436</v>
      </c>
      <c r="K30" s="354" t="s">
        <v>436</v>
      </c>
      <c r="L30" s="354" t="s">
        <v>436</v>
      </c>
      <c r="M30" s="354">
        <f>SUMIF('Formet 8'!F$12:F$116,'Format 1A'!D31,'Formet 8'!BX$12:BX$116)</f>
        <v>0</v>
      </c>
      <c r="N30" s="354">
        <f>SUMIF('Formet 8'!F$12:F$116,'Format 1A'!D31,'Formet 8'!BY$12:BY$116)</f>
        <v>0</v>
      </c>
      <c r="O30" s="354" t="s">
        <v>436</v>
      </c>
      <c r="P30" s="354" t="s">
        <v>436</v>
      </c>
      <c r="Q30" s="354" t="s">
        <v>436</v>
      </c>
      <c r="R30" s="354" t="s">
        <v>436</v>
      </c>
    </row>
    <row r="31" spans="1:18" s="339" customFormat="1" ht="15.75">
      <c r="A31" s="356"/>
      <c r="B31" s="357"/>
      <c r="C31" s="358"/>
      <c r="D31" s="358" t="s">
        <v>409</v>
      </c>
      <c r="E31" s="359"/>
      <c r="F31" s="360">
        <f>SUM(F8:F30)</f>
        <v>0</v>
      </c>
      <c r="G31" s="361" t="s">
        <v>436</v>
      </c>
      <c r="H31" s="361" t="s">
        <v>436</v>
      </c>
      <c r="I31" s="361" t="s">
        <v>436</v>
      </c>
      <c r="J31" s="361" t="s">
        <v>436</v>
      </c>
      <c r="K31" s="361" t="s">
        <v>436</v>
      </c>
      <c r="L31" s="361" t="s">
        <v>436</v>
      </c>
      <c r="M31" s="360">
        <f t="shared" ref="M31:N31" si="1">SUM(M8:M30)</f>
        <v>0</v>
      </c>
      <c r="N31" s="360">
        <f t="shared" si="1"/>
        <v>0</v>
      </c>
      <c r="O31" s="361" t="s">
        <v>436</v>
      </c>
      <c r="P31" s="361" t="s">
        <v>436</v>
      </c>
      <c r="Q31" s="361" t="s">
        <v>436</v>
      </c>
      <c r="R31" s="361" t="s">
        <v>436</v>
      </c>
    </row>
    <row r="32" spans="1:18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</row>
    <row r="33" spans="1:18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</row>
    <row r="34" spans="1:18" ht="18.75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587" t="str">
        <f>Master!C2</f>
        <v>iz/kkukpk;Z</v>
      </c>
      <c r="Q34" s="587"/>
      <c r="R34" s="587"/>
    </row>
    <row r="35" spans="1:18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588" t="str">
        <f>Master!D2</f>
        <v>jktdh; vkn'kZ mPp ek/;fed fo|ky; bdygjk ¼ Mhx ½</v>
      </c>
      <c r="Q35" s="588"/>
      <c r="R35" s="588"/>
    </row>
    <row r="36" spans="1:18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588"/>
      <c r="Q36" s="588"/>
      <c r="R36" s="588"/>
    </row>
    <row r="37" spans="1:18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588"/>
      <c r="Q37" s="588"/>
      <c r="R37" s="588"/>
    </row>
    <row r="38" spans="1:18">
      <c r="A38" s="349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</row>
  </sheetData>
  <mergeCells count="8">
    <mergeCell ref="P35:R37"/>
    <mergeCell ref="A5:O5"/>
    <mergeCell ref="P5:R5"/>
    <mergeCell ref="O1:R1"/>
    <mergeCell ref="A2:R2"/>
    <mergeCell ref="A3:R3"/>
    <mergeCell ref="A4:R4"/>
    <mergeCell ref="P34:R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M35"/>
  <sheetViews>
    <sheetView workbookViewId="0">
      <selection activeCell="F32" sqref="F32:G34"/>
    </sheetView>
  </sheetViews>
  <sheetFormatPr defaultRowHeight="15"/>
  <cols>
    <col min="1" max="1" width="7.28515625" style="99" customWidth="1"/>
    <col min="2" max="2" width="24.85546875" style="99" customWidth="1"/>
    <col min="3" max="3" width="25" style="99" customWidth="1"/>
    <col min="4" max="4" width="24.5703125" style="99" customWidth="1"/>
    <col min="5" max="5" width="20.42578125" style="99" customWidth="1"/>
    <col min="6" max="6" width="17.42578125" style="99" customWidth="1"/>
    <col min="7" max="7" width="16.7109375" style="99" customWidth="1"/>
    <col min="8" max="10" width="9.140625" style="99"/>
    <col min="11" max="12" width="0" style="99" hidden="1" customWidth="1"/>
    <col min="13" max="16384" width="9.140625" style="99"/>
  </cols>
  <sheetData>
    <row r="1" spans="1:13" ht="15.75">
      <c r="A1" s="162"/>
      <c r="B1" s="162"/>
      <c r="C1" s="162"/>
      <c r="D1" s="162"/>
      <c r="E1" s="349"/>
      <c r="F1" s="689">
        <f>Summary!$C$1</f>
        <v>30695</v>
      </c>
      <c r="G1" s="689"/>
    </row>
    <row r="2" spans="1:13" ht="20.25" customHeight="1">
      <c r="A2" s="690" t="str">
        <f>Summary!A2</f>
        <v>iz/kkukpk;Z jktdh; vkn'kZ mPp ek/;fed fo|ky; bdygjk ¼ Mhx ½</v>
      </c>
      <c r="B2" s="690"/>
      <c r="C2" s="690"/>
      <c r="D2" s="690"/>
      <c r="E2" s="690"/>
      <c r="F2" s="690"/>
      <c r="G2" s="690"/>
      <c r="H2" s="287"/>
      <c r="I2" s="287"/>
      <c r="J2" s="287"/>
      <c r="K2" s="287"/>
      <c r="L2" s="287"/>
      <c r="M2" s="287"/>
    </row>
    <row r="3" spans="1:13" ht="15.75" customHeight="1">
      <c r="A3" s="587" t="s">
        <v>439</v>
      </c>
      <c r="B3" s="587"/>
      <c r="C3" s="587"/>
      <c r="D3" s="587"/>
      <c r="E3" s="587"/>
      <c r="F3" s="587"/>
      <c r="G3" s="587"/>
      <c r="H3" s="287"/>
      <c r="I3" s="287"/>
      <c r="J3" s="287"/>
      <c r="K3" s="287"/>
      <c r="L3" s="287"/>
      <c r="M3" s="287"/>
    </row>
    <row r="4" spans="1:13" ht="15.75" customHeight="1">
      <c r="A4" s="687" t="str">
        <f>Summary!A5</f>
        <v>BUDGET HEAD : 2202-GENERAL EDUCATION, 02-SECONDARY EDUCATION, 109-GOVT. SEC. SCHOOL, (01)-BOYS SCHOOL (STATE FUND)</v>
      </c>
      <c r="B4" s="687"/>
      <c r="C4" s="687"/>
      <c r="D4" s="687"/>
      <c r="E4" s="687"/>
      <c r="F4" s="688" t="s">
        <v>313</v>
      </c>
      <c r="G4" s="688"/>
      <c r="I4" s="287"/>
      <c r="J4" s="287"/>
      <c r="K4" s="287"/>
      <c r="L4" s="287"/>
      <c r="M4" s="287"/>
    </row>
    <row r="5" spans="1:13" s="362" customFormat="1" ht="34.5" customHeight="1">
      <c r="A5" s="343" t="s">
        <v>8</v>
      </c>
      <c r="B5" s="343" t="s">
        <v>108</v>
      </c>
      <c r="C5" s="363" t="s">
        <v>440</v>
      </c>
      <c r="D5" s="691" t="s">
        <v>440</v>
      </c>
      <c r="E5" s="692"/>
      <c r="F5" s="343" t="s">
        <v>441</v>
      </c>
      <c r="G5" s="343" t="s">
        <v>442</v>
      </c>
      <c r="H5" s="284"/>
      <c r="I5" s="284"/>
      <c r="J5" s="284"/>
      <c r="K5" s="284"/>
      <c r="L5" s="284"/>
      <c r="M5" s="284"/>
    </row>
    <row r="6" spans="1:13" ht="12" customHeight="1">
      <c r="A6" s="353">
        <v>1</v>
      </c>
      <c r="B6" s="364">
        <v>2</v>
      </c>
      <c r="C6" s="365"/>
      <c r="D6" s="693">
        <v>3</v>
      </c>
      <c r="E6" s="694"/>
      <c r="F6" s="364">
        <v>5</v>
      </c>
      <c r="G6" s="364">
        <v>6</v>
      </c>
      <c r="H6" s="287"/>
      <c r="I6" s="287"/>
      <c r="J6" s="287"/>
      <c r="K6" s="287"/>
      <c r="L6" s="287"/>
      <c r="M6" s="287"/>
    </row>
    <row r="7" spans="1:13" ht="15" customHeight="1">
      <c r="A7" s="353">
        <f>IF(K7&gt;=1,1,0)</f>
        <v>1</v>
      </c>
      <c r="B7" s="695" t="str">
        <f>A4</f>
        <v>BUDGET HEAD : 2202-GENERAL EDUCATION, 02-SECONDARY EDUCATION, 109-GOVT. SEC. SCHOOL, (01)-BOYS SCHOOL (STATE FUND)</v>
      </c>
      <c r="C7" s="231" t="str">
        <f>Master!C$5</f>
        <v>PLAN - BOYS</v>
      </c>
      <c r="D7" s="351" t="s">
        <v>60</v>
      </c>
      <c r="E7" s="366" t="str">
        <f>'Format 1A'!E9</f>
        <v>L-16</v>
      </c>
      <c r="F7" s="328">
        <v>0</v>
      </c>
      <c r="G7" s="328">
        <v>0</v>
      </c>
      <c r="H7" s="287"/>
      <c r="I7" s="287"/>
      <c r="J7" s="287"/>
      <c r="K7" s="287">
        <f>'Format 1A'!F9</f>
        <v>1</v>
      </c>
      <c r="L7" s="287"/>
      <c r="M7" s="287"/>
    </row>
    <row r="8" spans="1:13" ht="15" customHeight="1">
      <c r="A8" s="353">
        <f>IF(K8&gt;=1,1,0)+A7</f>
        <v>1</v>
      </c>
      <c r="B8" s="696"/>
      <c r="C8" s="231" t="str">
        <f>Master!C$5</f>
        <v>PLAN - BOYS</v>
      </c>
      <c r="D8" s="351" t="s">
        <v>239</v>
      </c>
      <c r="E8" s="366" t="str">
        <f>'Format 1A'!E10</f>
        <v>L-13</v>
      </c>
      <c r="F8" s="328">
        <v>0</v>
      </c>
      <c r="G8" s="328">
        <v>0</v>
      </c>
      <c r="H8" s="287"/>
      <c r="I8" s="287"/>
      <c r="J8" s="287"/>
      <c r="K8" s="287">
        <f>'Format 1A'!F10</f>
        <v>0</v>
      </c>
      <c r="L8" s="287"/>
      <c r="M8" s="287"/>
    </row>
    <row r="9" spans="1:13" ht="15" customHeight="1">
      <c r="A9" s="353">
        <f t="shared" ref="A9:A29" si="0">IF(K9&gt;=1,1,0)+A8</f>
        <v>1</v>
      </c>
      <c r="B9" s="696"/>
      <c r="C9" s="231" t="str">
        <f>Master!C$5</f>
        <v>PLAN - BOYS</v>
      </c>
      <c r="D9" s="351" t="s">
        <v>241</v>
      </c>
      <c r="E9" s="366" t="str">
        <f>'Format 1A'!E11</f>
        <v>L-12</v>
      </c>
      <c r="F9" s="328">
        <v>0</v>
      </c>
      <c r="G9" s="328">
        <v>0</v>
      </c>
      <c r="H9" s="287"/>
      <c r="I9" s="287"/>
      <c r="J9" s="287"/>
      <c r="K9" s="287">
        <f>'Format 1A'!F11</f>
        <v>0</v>
      </c>
      <c r="L9" s="287"/>
      <c r="M9" s="287"/>
    </row>
    <row r="10" spans="1:13" ht="15" customHeight="1">
      <c r="A10" s="353">
        <f t="shared" si="0"/>
        <v>2</v>
      </c>
      <c r="B10" s="696"/>
      <c r="C10" s="231" t="str">
        <f>Master!C$5</f>
        <v>PLAN - BOYS</v>
      </c>
      <c r="D10" s="351" t="s">
        <v>65</v>
      </c>
      <c r="E10" s="366" t="str">
        <f>'Format 1A'!E12</f>
        <v>L-12</v>
      </c>
      <c r="F10" s="328">
        <v>0</v>
      </c>
      <c r="G10" s="328">
        <v>0</v>
      </c>
      <c r="H10" s="287"/>
      <c r="I10" s="287"/>
      <c r="J10" s="287"/>
      <c r="K10" s="287">
        <f>'Format 1A'!F12</f>
        <v>4</v>
      </c>
      <c r="L10" s="287"/>
      <c r="M10" s="287"/>
    </row>
    <row r="11" spans="1:13" ht="15" customHeight="1">
      <c r="A11" s="353">
        <f t="shared" si="0"/>
        <v>2</v>
      </c>
      <c r="B11" s="696"/>
      <c r="C11" s="231" t="str">
        <f>Master!C$5</f>
        <v>PLAN - BOYS</v>
      </c>
      <c r="D11" s="351" t="s">
        <v>250</v>
      </c>
      <c r="E11" s="366" t="str">
        <f>'Format 1A'!E13</f>
        <v>L-12</v>
      </c>
      <c r="F11" s="328">
        <v>0</v>
      </c>
      <c r="G11" s="328">
        <v>0</v>
      </c>
      <c r="H11" s="287"/>
      <c r="I11" s="287"/>
      <c r="J11" s="287"/>
      <c r="K11" s="287">
        <f>'Format 1A'!F13</f>
        <v>0</v>
      </c>
      <c r="L11" s="287"/>
      <c r="M11" s="287"/>
    </row>
    <row r="12" spans="1:13" ht="15" customHeight="1">
      <c r="A12" s="353">
        <f t="shared" si="0"/>
        <v>2</v>
      </c>
      <c r="B12" s="696"/>
      <c r="C12" s="231" t="str">
        <f>Master!C$5</f>
        <v>PLAN - BOYS</v>
      </c>
      <c r="D12" s="351" t="s">
        <v>243</v>
      </c>
      <c r="E12" s="366" t="str">
        <f>'Format 1A'!E14</f>
        <v>L-12</v>
      </c>
      <c r="F12" s="328">
        <v>0</v>
      </c>
      <c r="G12" s="328">
        <v>0</v>
      </c>
      <c r="H12" s="287"/>
      <c r="I12" s="287"/>
      <c r="J12" s="287"/>
      <c r="K12" s="287">
        <f>'Format 1A'!F14</f>
        <v>0</v>
      </c>
      <c r="L12" s="287"/>
      <c r="M12" s="287"/>
    </row>
    <row r="13" spans="1:13" ht="15" customHeight="1">
      <c r="A13" s="353">
        <f t="shared" si="0"/>
        <v>2</v>
      </c>
      <c r="B13" s="696"/>
      <c r="C13" s="231" t="str">
        <f>Master!C$5</f>
        <v>PLAN - BOYS</v>
      </c>
      <c r="D13" s="351" t="s">
        <v>245</v>
      </c>
      <c r="E13" s="366" t="str">
        <f>'Format 1A'!E15</f>
        <v>L-12</v>
      </c>
      <c r="F13" s="328">
        <v>0</v>
      </c>
      <c r="G13" s="328">
        <v>0</v>
      </c>
      <c r="H13" s="287"/>
      <c r="I13" s="287"/>
      <c r="J13" s="287"/>
      <c r="K13" s="287">
        <f>'Format 1A'!F15</f>
        <v>0</v>
      </c>
      <c r="L13" s="287"/>
      <c r="M13" s="287"/>
    </row>
    <row r="14" spans="1:13" ht="15" customHeight="1">
      <c r="A14" s="353">
        <f t="shared" si="0"/>
        <v>2</v>
      </c>
      <c r="B14" s="696"/>
      <c r="C14" s="231" t="str">
        <f>Master!C$5</f>
        <v>PLAN - BOYS</v>
      </c>
      <c r="D14" s="351" t="s">
        <v>248</v>
      </c>
      <c r="E14" s="366" t="str">
        <f>'Format 1A'!E16</f>
        <v>L-12</v>
      </c>
      <c r="F14" s="328">
        <v>0</v>
      </c>
      <c r="G14" s="328">
        <v>0</v>
      </c>
      <c r="K14" s="287">
        <f>'Format 1A'!F16</f>
        <v>0</v>
      </c>
    </row>
    <row r="15" spans="1:13" ht="15" customHeight="1">
      <c r="A15" s="353">
        <f t="shared" si="0"/>
        <v>2</v>
      </c>
      <c r="B15" s="696"/>
      <c r="C15" s="231" t="str">
        <f>Master!C$5</f>
        <v>PLAN - BOYS</v>
      </c>
      <c r="D15" s="351" t="s">
        <v>261</v>
      </c>
      <c r="E15" s="366" t="str">
        <f>'Format 1A'!E17</f>
        <v>L-10</v>
      </c>
      <c r="F15" s="328">
        <v>0</v>
      </c>
      <c r="G15" s="328">
        <v>0</v>
      </c>
      <c r="K15" s="287">
        <f>'Format 1A'!F17</f>
        <v>0</v>
      </c>
    </row>
    <row r="16" spans="1:13" ht="15" customHeight="1">
      <c r="A16" s="353">
        <f t="shared" si="0"/>
        <v>3</v>
      </c>
      <c r="B16" s="696"/>
      <c r="C16" s="231" t="str">
        <f>Master!C$5</f>
        <v>PLAN - BOYS</v>
      </c>
      <c r="D16" s="351" t="s">
        <v>70</v>
      </c>
      <c r="E16" s="366" t="str">
        <f>'Format 1A'!E18</f>
        <v>L-11</v>
      </c>
      <c r="F16" s="328">
        <v>0</v>
      </c>
      <c r="G16" s="328">
        <v>0</v>
      </c>
      <c r="K16" s="287">
        <f>'Format 1A'!F18</f>
        <v>3</v>
      </c>
    </row>
    <row r="17" spans="1:11" ht="15" customHeight="1">
      <c r="A17" s="353">
        <f t="shared" si="0"/>
        <v>3</v>
      </c>
      <c r="B17" s="696"/>
      <c r="C17" s="231" t="str">
        <f>Master!C$5</f>
        <v>PLAN - BOYS</v>
      </c>
      <c r="D17" s="355" t="s">
        <v>253</v>
      </c>
      <c r="E17" s="366" t="str">
        <f>'Format 1A'!E19</f>
        <v>L-11</v>
      </c>
      <c r="F17" s="328">
        <v>0</v>
      </c>
      <c r="G17" s="328">
        <v>0</v>
      </c>
      <c r="K17" s="287">
        <f>'Format 1A'!F19</f>
        <v>0</v>
      </c>
    </row>
    <row r="18" spans="1:11" ht="15" customHeight="1">
      <c r="A18" s="353">
        <f t="shared" si="0"/>
        <v>3</v>
      </c>
      <c r="B18" s="696"/>
      <c r="C18" s="231" t="str">
        <f>Master!C$5</f>
        <v>PLAN - BOYS</v>
      </c>
      <c r="D18" s="351" t="s">
        <v>81</v>
      </c>
      <c r="E18" s="366" t="str">
        <f>'Format 1A'!E20</f>
        <v>L-11</v>
      </c>
      <c r="F18" s="328">
        <v>0</v>
      </c>
      <c r="G18" s="328">
        <v>0</v>
      </c>
      <c r="K18" s="287">
        <f>'Format 1A'!F20</f>
        <v>0</v>
      </c>
    </row>
    <row r="19" spans="1:11" ht="15" customHeight="1">
      <c r="A19" s="353">
        <f t="shared" si="0"/>
        <v>3</v>
      </c>
      <c r="B19" s="696"/>
      <c r="C19" s="231" t="str">
        <f>Master!C$5</f>
        <v>PLAN - BOYS</v>
      </c>
      <c r="D19" s="351" t="s">
        <v>263</v>
      </c>
      <c r="E19" s="366" t="str">
        <f>'Format 1A'!E21</f>
        <v>L-9</v>
      </c>
      <c r="F19" s="328">
        <v>0</v>
      </c>
      <c r="G19" s="328">
        <v>0</v>
      </c>
      <c r="K19" s="287">
        <f>'Format 1A'!F21</f>
        <v>0</v>
      </c>
    </row>
    <row r="20" spans="1:11" ht="15" customHeight="1">
      <c r="A20" s="353">
        <f t="shared" si="0"/>
        <v>3</v>
      </c>
      <c r="B20" s="696"/>
      <c r="C20" s="231" t="str">
        <f>Master!C$5</f>
        <v>PLAN - BOYS</v>
      </c>
      <c r="D20" s="351" t="s">
        <v>265</v>
      </c>
      <c r="E20" s="366" t="str">
        <f>'Format 1A'!E22</f>
        <v>L-9</v>
      </c>
      <c r="F20" s="328">
        <v>0</v>
      </c>
      <c r="G20" s="328">
        <v>0</v>
      </c>
      <c r="K20" s="287">
        <f>'Format 1A'!F22</f>
        <v>0</v>
      </c>
    </row>
    <row r="21" spans="1:11" ht="15" customHeight="1">
      <c r="A21" s="353">
        <f t="shared" si="0"/>
        <v>4</v>
      </c>
      <c r="B21" s="696"/>
      <c r="C21" s="231" t="str">
        <f>Master!C$5</f>
        <v>PLAN - BOYS</v>
      </c>
      <c r="D21" s="351" t="s">
        <v>259</v>
      </c>
      <c r="E21" s="366" t="str">
        <f>'Format 1A'!E23</f>
        <v>L-10</v>
      </c>
      <c r="F21" s="328">
        <v>0</v>
      </c>
      <c r="G21" s="328">
        <v>0</v>
      </c>
      <c r="K21" s="287">
        <f>'Format 1A'!F23</f>
        <v>1</v>
      </c>
    </row>
    <row r="22" spans="1:11" ht="15" customHeight="1">
      <c r="A22" s="353">
        <f t="shared" si="0"/>
        <v>5</v>
      </c>
      <c r="B22" s="696"/>
      <c r="C22" s="231" t="str">
        <f>Master!C$5</f>
        <v>PLAN - BOYS</v>
      </c>
      <c r="D22" s="351" t="s">
        <v>75</v>
      </c>
      <c r="E22" s="366" t="str">
        <f>'Format 1A'!E24</f>
        <v>L-10</v>
      </c>
      <c r="F22" s="328">
        <v>0</v>
      </c>
      <c r="G22" s="328">
        <v>0</v>
      </c>
      <c r="K22" s="287">
        <f>'Format 1A'!F24</f>
        <v>5</v>
      </c>
    </row>
    <row r="23" spans="1:11" ht="15" customHeight="1">
      <c r="A23" s="353">
        <f t="shared" si="0"/>
        <v>5</v>
      </c>
      <c r="B23" s="696"/>
      <c r="C23" s="231" t="str">
        <f>Master!C$5</f>
        <v>PLAN - BOYS</v>
      </c>
      <c r="D23" s="351" t="s">
        <v>256</v>
      </c>
      <c r="E23" s="366" t="str">
        <f>'Format 1A'!E25</f>
        <v>L-10</v>
      </c>
      <c r="F23" s="328">
        <v>0</v>
      </c>
      <c r="G23" s="328">
        <v>0</v>
      </c>
      <c r="K23" s="287">
        <f>'Format 1A'!F25</f>
        <v>0</v>
      </c>
    </row>
    <row r="24" spans="1:11" ht="15" customHeight="1">
      <c r="A24" s="353">
        <f t="shared" si="0"/>
        <v>5</v>
      </c>
      <c r="B24" s="696"/>
      <c r="C24" s="231" t="str">
        <f>Master!C$5</f>
        <v>PLAN - BOYS</v>
      </c>
      <c r="D24" s="351" t="s">
        <v>263</v>
      </c>
      <c r="E24" s="366" t="str">
        <f>'Format 1A'!E26</f>
        <v>L-9</v>
      </c>
      <c r="F24" s="328">
        <v>0</v>
      </c>
      <c r="G24" s="328">
        <v>0</v>
      </c>
      <c r="K24" s="287">
        <f>'Format 1A'!F26</f>
        <v>0</v>
      </c>
    </row>
    <row r="25" spans="1:11" ht="15" customHeight="1">
      <c r="A25" s="353">
        <f t="shared" si="0"/>
        <v>6</v>
      </c>
      <c r="B25" s="696"/>
      <c r="C25" s="231" t="str">
        <f>Master!C$5</f>
        <v>PLAN - BOYS</v>
      </c>
      <c r="D25" s="351" t="s">
        <v>83</v>
      </c>
      <c r="E25" s="366" t="str">
        <f>'Format 1A'!E27</f>
        <v>L-5</v>
      </c>
      <c r="F25" s="328">
        <v>0</v>
      </c>
      <c r="G25" s="328">
        <v>0</v>
      </c>
      <c r="K25" s="287">
        <f>'Format 1A'!F27</f>
        <v>1</v>
      </c>
    </row>
    <row r="26" spans="1:11" ht="15" customHeight="1">
      <c r="A26" s="353">
        <f t="shared" si="0"/>
        <v>6</v>
      </c>
      <c r="B26" s="696"/>
      <c r="C26" s="231" t="str">
        <f>Master!C$5</f>
        <v>PLAN - BOYS</v>
      </c>
      <c r="D26" s="351" t="s">
        <v>267</v>
      </c>
      <c r="E26" s="366" t="str">
        <f>'Format 1A'!E28</f>
        <v>L-5</v>
      </c>
      <c r="F26" s="328">
        <v>0</v>
      </c>
      <c r="G26" s="328">
        <v>0</v>
      </c>
      <c r="K26" s="287">
        <f>'Format 1A'!F28</f>
        <v>0</v>
      </c>
    </row>
    <row r="27" spans="1:11" ht="15" customHeight="1">
      <c r="A27" s="353">
        <f t="shared" si="0"/>
        <v>7</v>
      </c>
      <c r="B27" s="696"/>
      <c r="C27" s="231" t="str">
        <f>Master!C$5</f>
        <v>PLAN - BOYS</v>
      </c>
      <c r="D27" s="351" t="s">
        <v>273</v>
      </c>
      <c r="E27" s="366" t="str">
        <f>'Format 1A'!E29</f>
        <v>L-1</v>
      </c>
      <c r="F27" s="328">
        <v>0</v>
      </c>
      <c r="G27" s="328">
        <v>0</v>
      </c>
      <c r="K27" s="287">
        <f>'Format 1A'!F29</f>
        <v>1</v>
      </c>
    </row>
    <row r="28" spans="1:11" ht="15" customHeight="1">
      <c r="A28" s="353">
        <f t="shared" si="0"/>
        <v>7</v>
      </c>
      <c r="B28" s="696"/>
      <c r="C28" s="231" t="str">
        <f>Master!C$5</f>
        <v>PLAN - BOYS</v>
      </c>
      <c r="D28" s="351" t="s">
        <v>271</v>
      </c>
      <c r="E28" s="366" t="str">
        <f>'Format 1A'!E30</f>
        <v>L-1</v>
      </c>
      <c r="F28" s="328">
        <v>0</v>
      </c>
      <c r="G28" s="328">
        <v>0</v>
      </c>
      <c r="K28" s="287">
        <f>'Format 1A'!F30</f>
        <v>0</v>
      </c>
    </row>
    <row r="29" spans="1:11" ht="15" customHeight="1">
      <c r="A29" s="353">
        <f t="shared" si="0"/>
        <v>8</v>
      </c>
      <c r="B29" s="697"/>
      <c r="C29" s="231" t="str">
        <f>Master!C$5</f>
        <v>PLAN - BOYS</v>
      </c>
      <c r="D29" s="351" t="s">
        <v>86</v>
      </c>
      <c r="E29" s="366" t="str">
        <f>'Format 1A'!E31</f>
        <v>L-1</v>
      </c>
      <c r="F29" s="328">
        <v>0</v>
      </c>
      <c r="G29" s="328">
        <v>0</v>
      </c>
      <c r="K29" s="287">
        <f>'Format 1A'!F31</f>
        <v>1</v>
      </c>
    </row>
    <row r="30" spans="1:11" ht="18.75">
      <c r="A30" s="367"/>
      <c r="B30" s="368"/>
      <c r="C30" s="368"/>
      <c r="D30" s="369" t="s">
        <v>409</v>
      </c>
      <c r="E30" s="370"/>
      <c r="F30" s="371">
        <f>SUM(F7:F29)</f>
        <v>0</v>
      </c>
      <c r="G30" s="371">
        <f>SUM(G7:G29)</f>
        <v>0</v>
      </c>
      <c r="K30" s="287">
        <f>'Format 1A'!F32</f>
        <v>17</v>
      </c>
    </row>
    <row r="31" spans="1:11" ht="18.75">
      <c r="A31" s="162"/>
      <c r="B31" s="162"/>
      <c r="C31" s="162"/>
      <c r="D31" s="162"/>
      <c r="E31" s="162"/>
      <c r="F31" s="162"/>
      <c r="G31" s="162"/>
      <c r="K31" s="287"/>
    </row>
    <row r="32" spans="1:11" ht="18.75">
      <c r="A32" s="162"/>
      <c r="B32" s="162"/>
      <c r="C32" s="162"/>
      <c r="D32" s="162"/>
      <c r="E32" s="340"/>
      <c r="F32" s="587" t="str">
        <f>Master!C2</f>
        <v>iz/kkukpk;Z</v>
      </c>
      <c r="G32" s="587"/>
    </row>
    <row r="33" spans="1:7" ht="18.75" customHeight="1">
      <c r="A33" s="162"/>
      <c r="B33" s="162"/>
      <c r="C33" s="162"/>
      <c r="D33" s="162"/>
      <c r="E33" s="341"/>
      <c r="F33" s="588" t="str">
        <f>Master!D2</f>
        <v>jktdh; vkn'kZ mPp ek/;fed fo|ky; bdygjk ¼ Mhx ½</v>
      </c>
      <c r="G33" s="588"/>
    </row>
    <row r="34" spans="1:7" ht="18.75">
      <c r="A34" s="162"/>
      <c r="B34" s="162"/>
      <c r="C34" s="162"/>
      <c r="D34" s="162"/>
      <c r="E34" s="341"/>
      <c r="F34" s="588"/>
      <c r="G34" s="588"/>
    </row>
    <row r="35" spans="1:7" ht="18.75">
      <c r="A35" s="162"/>
      <c r="B35" s="162"/>
      <c r="C35" s="162"/>
      <c r="D35" s="162"/>
      <c r="E35" s="341"/>
      <c r="F35" s="163"/>
      <c r="G35" s="163"/>
    </row>
  </sheetData>
  <mergeCells count="10">
    <mergeCell ref="F32:G32"/>
    <mergeCell ref="A4:E4"/>
    <mergeCell ref="F4:G4"/>
    <mergeCell ref="F33:G34"/>
    <mergeCell ref="F1:G1"/>
    <mergeCell ref="A2:G2"/>
    <mergeCell ref="A3:G3"/>
    <mergeCell ref="D5:E5"/>
    <mergeCell ref="D6:E6"/>
    <mergeCell ref="B7:B29"/>
  </mergeCells>
  <pageMargins left="0.7" right="0.45" top="0.4" bottom="0.4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R37"/>
  <sheetViews>
    <sheetView workbookViewId="0">
      <selection activeCell="U13" sqref="U13"/>
    </sheetView>
  </sheetViews>
  <sheetFormatPr defaultRowHeight="15"/>
  <cols>
    <col min="1" max="1" width="5.85546875" style="310" bestFit="1" customWidth="1"/>
    <col min="2" max="2" width="20" style="310" customWidth="1"/>
    <col min="3" max="9" width="8.7109375" style="310" customWidth="1"/>
    <col min="10" max="10" width="5.85546875" style="310" bestFit="1" customWidth="1"/>
    <col min="11" max="11" width="19" style="310" customWidth="1"/>
    <col min="12" max="18" width="8.7109375" style="310" customWidth="1"/>
    <col min="19" max="16384" width="9.140625" style="310"/>
  </cols>
  <sheetData>
    <row r="1" spans="1:18" ht="15.75">
      <c r="A1" s="222"/>
      <c r="B1" s="222"/>
      <c r="C1" s="222"/>
      <c r="D1" s="222"/>
      <c r="E1" s="222"/>
      <c r="F1" s="222"/>
      <c r="G1" s="707">
        <f>Summary!$C$1</f>
        <v>30695</v>
      </c>
      <c r="H1" s="707"/>
      <c r="I1" s="707"/>
      <c r="J1" s="222"/>
      <c r="K1" s="222"/>
      <c r="L1" s="222"/>
      <c r="M1" s="222"/>
      <c r="N1" s="222"/>
      <c r="O1" s="222"/>
      <c r="P1" s="707">
        <f>Summary!$C$1</f>
        <v>30695</v>
      </c>
      <c r="Q1" s="707"/>
      <c r="R1" s="707"/>
    </row>
    <row r="2" spans="1:18">
      <c r="A2" s="708" t="s">
        <v>416</v>
      </c>
      <c r="B2" s="708"/>
      <c r="C2" s="708"/>
      <c r="D2" s="708"/>
      <c r="E2" s="708"/>
      <c r="F2" s="708"/>
      <c r="G2" s="708"/>
      <c r="H2" s="708"/>
      <c r="I2" s="708"/>
      <c r="J2" s="708" t="s">
        <v>416</v>
      </c>
      <c r="K2" s="708"/>
      <c r="L2" s="708"/>
      <c r="M2" s="708"/>
      <c r="N2" s="708"/>
      <c r="O2" s="708"/>
      <c r="P2" s="708"/>
      <c r="Q2" s="708"/>
      <c r="R2" s="708"/>
    </row>
    <row r="3" spans="1:18">
      <c r="A3" s="709" t="str">
        <f>Summary!$A$3</f>
        <v>Principal Government Adarsh Sr. Secondary School INDERWARA (Pali)</v>
      </c>
      <c r="B3" s="709"/>
      <c r="C3" s="709"/>
      <c r="D3" s="709"/>
      <c r="E3" s="709"/>
      <c r="F3" s="709"/>
      <c r="G3" s="709"/>
      <c r="H3" s="709"/>
      <c r="I3" s="709"/>
      <c r="J3" s="709" t="str">
        <f>Summary!$A$3</f>
        <v>Principal Government Adarsh Sr. Secondary School INDERWARA (Pali)</v>
      </c>
      <c r="K3" s="709"/>
      <c r="L3" s="709"/>
      <c r="M3" s="709"/>
      <c r="N3" s="709"/>
      <c r="O3" s="709"/>
      <c r="P3" s="709"/>
      <c r="Q3" s="709"/>
      <c r="R3" s="709"/>
    </row>
    <row r="4" spans="1:18">
      <c r="A4" s="698" t="s">
        <v>659</v>
      </c>
      <c r="B4" s="698"/>
      <c r="C4" s="698"/>
      <c r="D4" s="698"/>
      <c r="E4" s="698"/>
      <c r="F4" s="698"/>
      <c r="G4" s="698"/>
      <c r="H4" s="698"/>
      <c r="I4" s="698"/>
      <c r="J4" s="699" t="s">
        <v>660</v>
      </c>
      <c r="K4" s="699"/>
      <c r="L4" s="699"/>
      <c r="M4" s="699"/>
      <c r="N4" s="699"/>
      <c r="O4" s="699"/>
      <c r="P4" s="699"/>
      <c r="Q4" s="699"/>
      <c r="R4" s="699"/>
    </row>
    <row r="5" spans="1:18" ht="15" customHeight="1" thickBot="1">
      <c r="A5" s="700" t="str">
        <f>Summary!A5</f>
        <v>BUDGET HEAD : 2202-GENERAL EDUCATION, 02-SECONDARY EDUCATION, 109-GOVT. SEC. SCHOOL, (01)-BOYS SCHOOL (STATE FUND)</v>
      </c>
      <c r="B5" s="700"/>
      <c r="C5" s="700"/>
      <c r="D5" s="700"/>
      <c r="E5" s="700"/>
      <c r="F5" s="700"/>
      <c r="G5" s="700"/>
      <c r="H5" s="700"/>
      <c r="I5" s="700"/>
      <c r="J5" s="700" t="str">
        <f>Summary!A5</f>
        <v>BUDGET HEAD : 2202-GENERAL EDUCATION, 02-SECONDARY EDUCATION, 109-GOVT. SEC. SCHOOL, (01)-BOYS SCHOOL (STATE FUND)</v>
      </c>
      <c r="K5" s="700"/>
      <c r="L5" s="700"/>
      <c r="M5" s="700"/>
      <c r="N5" s="700"/>
      <c r="O5" s="700"/>
      <c r="P5" s="700"/>
      <c r="Q5" s="700"/>
      <c r="R5" s="700"/>
    </row>
    <row r="6" spans="1:18" s="313" customFormat="1" ht="21" customHeight="1">
      <c r="A6" s="701" t="s">
        <v>417</v>
      </c>
      <c r="B6" s="703" t="s">
        <v>418</v>
      </c>
      <c r="C6" s="316" t="s">
        <v>92</v>
      </c>
      <c r="D6" s="316" t="s">
        <v>93</v>
      </c>
      <c r="E6" s="316" t="s">
        <v>93</v>
      </c>
      <c r="F6" s="316" t="s">
        <v>93</v>
      </c>
      <c r="G6" s="316" t="s">
        <v>93</v>
      </c>
      <c r="H6" s="316" t="s">
        <v>93</v>
      </c>
      <c r="I6" s="705" t="s">
        <v>94</v>
      </c>
      <c r="J6" s="701" t="s">
        <v>417</v>
      </c>
      <c r="K6" s="703" t="s">
        <v>418</v>
      </c>
      <c r="L6" s="316" t="s">
        <v>92</v>
      </c>
      <c r="M6" s="316" t="s">
        <v>93</v>
      </c>
      <c r="N6" s="316" t="s">
        <v>93</v>
      </c>
      <c r="O6" s="316" t="s">
        <v>93</v>
      </c>
      <c r="P6" s="316" t="s">
        <v>93</v>
      </c>
      <c r="Q6" s="316" t="s">
        <v>93</v>
      </c>
      <c r="R6" s="705" t="s">
        <v>94</v>
      </c>
    </row>
    <row r="7" spans="1:18" s="314" customFormat="1" ht="21" customHeight="1">
      <c r="A7" s="702"/>
      <c r="B7" s="704"/>
      <c r="C7" s="317">
        <v>41729</v>
      </c>
      <c r="D7" s="231" t="s">
        <v>96</v>
      </c>
      <c r="E7" s="231" t="s">
        <v>97</v>
      </c>
      <c r="F7" s="231" t="s">
        <v>98</v>
      </c>
      <c r="G7" s="231" t="s">
        <v>99</v>
      </c>
      <c r="H7" s="231" t="s">
        <v>5</v>
      </c>
      <c r="I7" s="706"/>
      <c r="J7" s="702"/>
      <c r="K7" s="704"/>
      <c r="L7" s="317">
        <v>41729</v>
      </c>
      <c r="M7" s="231" t="s">
        <v>96</v>
      </c>
      <c r="N7" s="231" t="s">
        <v>97</v>
      </c>
      <c r="O7" s="231" t="s">
        <v>98</v>
      </c>
      <c r="P7" s="231" t="s">
        <v>99</v>
      </c>
      <c r="Q7" s="231" t="s">
        <v>5</v>
      </c>
      <c r="R7" s="706"/>
    </row>
    <row r="8" spans="1:18" s="314" customFormat="1" ht="15.95" customHeight="1">
      <c r="A8" s="318">
        <v>1</v>
      </c>
      <c r="B8" s="319" t="str">
        <f>IF(AND(Master!B112=""),"",Master!B112)</f>
        <v>feJhyky</v>
      </c>
      <c r="C8" s="320">
        <f>IF(AND(Master!E112=""),"",Master!E112)</f>
        <v>0</v>
      </c>
      <c r="D8" s="320">
        <f>IF(AND(Master!F112=""),"",Master!F112)</f>
        <v>0</v>
      </c>
      <c r="E8" s="320">
        <f>IF(AND(Master!G112=""),"",Master!G112)</f>
        <v>0</v>
      </c>
      <c r="F8" s="320">
        <f>IF(AND(Master!H112=""),"",Master!H112)</f>
        <v>0</v>
      </c>
      <c r="G8" s="320">
        <f>IF(AND(Master!I112=""),"",Master!I112)</f>
        <v>4000</v>
      </c>
      <c r="H8" s="320">
        <f>IF(AND(Master!J112=""),"",Master!J112)</f>
        <v>0</v>
      </c>
      <c r="I8" s="321">
        <f>IF(AND(B8=""),"",SUM(C8:H8))</f>
        <v>4000</v>
      </c>
      <c r="J8" s="318">
        <v>1</v>
      </c>
      <c r="K8" s="319" t="str">
        <f>IF(AND(Master!B156=""),"",Master!B156)</f>
        <v>feJhyky</v>
      </c>
      <c r="L8" s="320">
        <f>IF(AND(Master!E156=""),"",Master!E156)</f>
        <v>0</v>
      </c>
      <c r="M8" s="320">
        <f>IF(AND(Master!F156=""),"",Master!F156)</f>
        <v>0</v>
      </c>
      <c r="N8" s="320">
        <f>IF(AND(Master!G156=""),"",Master!G156)</f>
        <v>0</v>
      </c>
      <c r="O8" s="320">
        <f>IF(AND(Master!H156=""),"",Master!H156)</f>
        <v>0</v>
      </c>
      <c r="P8" s="320">
        <f>IF(AND(Master!I156=""),"",Master!I156)</f>
        <v>0</v>
      </c>
      <c r="Q8" s="320">
        <f>IF(AND(Master!J156=""),"",Master!J156)</f>
        <v>0</v>
      </c>
      <c r="R8" s="321">
        <f>IF(AND(K8=""),"",SUM(L8:Q8))</f>
        <v>0</v>
      </c>
    </row>
    <row r="9" spans="1:18" s="314" customFormat="1" ht="15.95" customHeight="1">
      <c r="A9" s="318">
        <v>2</v>
      </c>
      <c r="B9" s="319" t="str">
        <f>IF(AND(Master!B113=""),"",Master!B113)</f>
        <v>lkaojey ;kno</v>
      </c>
      <c r="C9" s="320">
        <f>IF(AND(Master!E113=""),"",Master!E113)</f>
        <v>0</v>
      </c>
      <c r="D9" s="320">
        <f>IF(AND(Master!F113=""),"",Master!F113)</f>
        <v>0</v>
      </c>
      <c r="E9" s="320">
        <f>IF(AND(Master!G113=""),"",Master!G113)</f>
        <v>0</v>
      </c>
      <c r="F9" s="320">
        <f>IF(AND(Master!H113=""),"",Master!H113)</f>
        <v>0</v>
      </c>
      <c r="G9" s="320">
        <f>IF(AND(Master!I113=""),"",Master!I113)</f>
        <v>500</v>
      </c>
      <c r="H9" s="320">
        <f>IF(AND(Master!J113=""),"",Master!J113)</f>
        <v>0</v>
      </c>
      <c r="I9" s="321">
        <f t="shared" ref="I9:I28" si="0">IF(AND(B9=""),"",SUM(C9:H9))</f>
        <v>500</v>
      </c>
      <c r="J9" s="318">
        <v>2</v>
      </c>
      <c r="K9" s="319" t="str">
        <f>IF(AND(Master!B157=""),"",Master!B157)</f>
        <v>lkaojey ;kno</v>
      </c>
      <c r="L9" s="320">
        <f>IF(AND(Master!E157=""),"",Master!E157)</f>
        <v>0</v>
      </c>
      <c r="M9" s="320">
        <f>IF(AND(Master!F157=""),"",Master!F157)</f>
        <v>0</v>
      </c>
      <c r="N9" s="320">
        <f>IF(AND(Master!G157=""),"",Master!G157)</f>
        <v>0</v>
      </c>
      <c r="O9" s="320">
        <f>IF(AND(Master!H157=""),"",Master!H157)</f>
        <v>0</v>
      </c>
      <c r="P9" s="320">
        <f>IF(AND(Master!I157=""),"",Master!I157)</f>
        <v>1000</v>
      </c>
      <c r="Q9" s="320">
        <f>IF(AND(Master!J157=""),"",Master!J157)</f>
        <v>0</v>
      </c>
      <c r="R9" s="321">
        <f t="shared" ref="R9:R28" si="1">IF(AND(K9=""),"",SUM(L9:Q9))</f>
        <v>1000</v>
      </c>
    </row>
    <row r="10" spans="1:18" s="314" customFormat="1" ht="15.95" customHeight="1">
      <c r="A10" s="318">
        <v>3</v>
      </c>
      <c r="B10" s="319" t="str">
        <f>IF(AND(Master!B114=""),"",Master!B114)</f>
        <v>dY;k.kfalg</v>
      </c>
      <c r="C10" s="320">
        <f>IF(AND(Master!E114=""),"",Master!E114)</f>
        <v>0</v>
      </c>
      <c r="D10" s="320">
        <f>IF(AND(Master!F114=""),"",Master!F114)</f>
        <v>0</v>
      </c>
      <c r="E10" s="320">
        <f>IF(AND(Master!G114=""),"",Master!G114)</f>
        <v>0</v>
      </c>
      <c r="F10" s="320">
        <f>IF(AND(Master!H114=""),"",Master!H114)</f>
        <v>0</v>
      </c>
      <c r="G10" s="320">
        <f>IF(AND(Master!I114=""),"",Master!I114)</f>
        <v>600</v>
      </c>
      <c r="H10" s="320">
        <f>IF(AND(Master!J114=""),"",Master!J114)</f>
        <v>0</v>
      </c>
      <c r="I10" s="321">
        <f t="shared" si="0"/>
        <v>600</v>
      </c>
      <c r="J10" s="318">
        <v>3</v>
      </c>
      <c r="K10" s="319" t="str">
        <f>IF(AND(Master!B158=""),"",Master!B158)</f>
        <v>dY;k.kfalg</v>
      </c>
      <c r="L10" s="320">
        <f>IF(AND(Master!E158=""),"",Master!E158)</f>
        <v>0</v>
      </c>
      <c r="M10" s="320">
        <f>IF(AND(Master!F158=""),"",Master!F158)</f>
        <v>0</v>
      </c>
      <c r="N10" s="320">
        <f>IF(AND(Master!G158=""),"",Master!G158)</f>
        <v>0</v>
      </c>
      <c r="O10" s="320">
        <f>IF(AND(Master!H158=""),"",Master!H158)</f>
        <v>0</v>
      </c>
      <c r="P10" s="320">
        <f>IF(AND(Master!I158=""),"",Master!I158)</f>
        <v>0</v>
      </c>
      <c r="Q10" s="320">
        <f>IF(AND(Master!J158=""),"",Master!J158)</f>
        <v>0</v>
      </c>
      <c r="R10" s="321">
        <f t="shared" si="1"/>
        <v>0</v>
      </c>
    </row>
    <row r="11" spans="1:18" s="314" customFormat="1" ht="15.95" customHeight="1">
      <c r="A11" s="318">
        <v>4</v>
      </c>
      <c r="B11" s="319" t="str">
        <f>IF(AND(Master!B115=""),"",Master!B115)</f>
        <v>Hkxokuflag</v>
      </c>
      <c r="C11" s="320">
        <f>IF(AND(Master!E115=""),"",Master!E115)</f>
        <v>0</v>
      </c>
      <c r="D11" s="320">
        <f>IF(AND(Master!F115=""),"",Master!F115)</f>
        <v>0</v>
      </c>
      <c r="E11" s="320">
        <f>IF(AND(Master!G115=""),"",Master!G115)</f>
        <v>0</v>
      </c>
      <c r="F11" s="320">
        <f>IF(AND(Master!H115=""),"",Master!H115)</f>
        <v>0</v>
      </c>
      <c r="G11" s="320">
        <f>IF(AND(Master!I115=""),"",Master!I115)</f>
        <v>600</v>
      </c>
      <c r="H11" s="320">
        <f>IF(AND(Master!J115=""),"",Master!J115)</f>
        <v>0</v>
      </c>
      <c r="I11" s="321">
        <f t="shared" si="0"/>
        <v>600</v>
      </c>
      <c r="J11" s="318">
        <v>4</v>
      </c>
      <c r="K11" s="319" t="str">
        <f>IF(AND(Master!B159=""),"",Master!B159)</f>
        <v>Hkxokuflag</v>
      </c>
      <c r="L11" s="320">
        <f>IF(AND(Master!E159=""),"",Master!E159)</f>
        <v>0</v>
      </c>
      <c r="M11" s="320">
        <f>IF(AND(Master!F159=""),"",Master!F159)</f>
        <v>0</v>
      </c>
      <c r="N11" s="320">
        <f>IF(AND(Master!G159=""),"",Master!G159)</f>
        <v>0</v>
      </c>
      <c r="O11" s="320">
        <f>IF(AND(Master!H159=""),"",Master!H159)</f>
        <v>0</v>
      </c>
      <c r="P11" s="320">
        <f>IF(AND(Master!I159=""),"",Master!I159)</f>
        <v>2000</v>
      </c>
      <c r="Q11" s="320">
        <f>IF(AND(Master!J159=""),"",Master!J159)</f>
        <v>0</v>
      </c>
      <c r="R11" s="321">
        <f t="shared" si="1"/>
        <v>2000</v>
      </c>
    </row>
    <row r="12" spans="1:18" s="314" customFormat="1" ht="15.95" customHeight="1">
      <c r="A12" s="318">
        <v>5</v>
      </c>
      <c r="B12" s="319" t="str">
        <f>IF(AND(Master!B116=""),"",Master!B116)</f>
        <v>ghjkyky tkV</v>
      </c>
      <c r="C12" s="320">
        <f>IF(AND(Master!E116=""),"",Master!E116)</f>
        <v>0</v>
      </c>
      <c r="D12" s="320">
        <f>IF(AND(Master!F116=""),"",Master!F116)</f>
        <v>0</v>
      </c>
      <c r="E12" s="320">
        <f>IF(AND(Master!G116=""),"",Master!G116)</f>
        <v>0</v>
      </c>
      <c r="F12" s="320">
        <f>IF(AND(Master!H116=""),"",Master!H116)</f>
        <v>0</v>
      </c>
      <c r="G12" s="320">
        <f>IF(AND(Master!I116=""),"",Master!I116)</f>
        <v>500</v>
      </c>
      <c r="H12" s="320">
        <f>IF(AND(Master!J116=""),"",Master!J116)</f>
        <v>0</v>
      </c>
      <c r="I12" s="321">
        <f t="shared" si="0"/>
        <v>500</v>
      </c>
      <c r="J12" s="318">
        <v>5</v>
      </c>
      <c r="K12" s="319" t="str">
        <f>IF(AND(Master!B160=""),"",Master!B160)</f>
        <v>ghjkyky tkV</v>
      </c>
      <c r="L12" s="320">
        <f>IF(AND(Master!E160=""),"",Master!E160)</f>
        <v>0</v>
      </c>
      <c r="M12" s="320">
        <f>IF(AND(Master!F160=""),"",Master!F160)</f>
        <v>0</v>
      </c>
      <c r="N12" s="320">
        <f>IF(AND(Master!G160=""),"",Master!G160)</f>
        <v>0</v>
      </c>
      <c r="O12" s="320">
        <f>IF(AND(Master!H160=""),"",Master!H160)</f>
        <v>0</v>
      </c>
      <c r="P12" s="320">
        <f>IF(AND(Master!I160=""),"",Master!I160)</f>
        <v>0</v>
      </c>
      <c r="Q12" s="320">
        <f>IF(AND(Master!J160=""),"",Master!J160)</f>
        <v>0</v>
      </c>
      <c r="R12" s="321">
        <f t="shared" si="1"/>
        <v>0</v>
      </c>
    </row>
    <row r="13" spans="1:18" s="314" customFormat="1" ht="15.95" customHeight="1">
      <c r="A13" s="318">
        <v>6</v>
      </c>
      <c r="B13" s="319" t="str">
        <f>IF(AND(Master!B117=""),"",Master!B117)</f>
        <v>egsUnz iVsy</v>
      </c>
      <c r="C13" s="320">
        <f>IF(AND(Master!E117=""),"",Master!E117)</f>
        <v>0</v>
      </c>
      <c r="D13" s="320">
        <f>IF(AND(Master!F117=""),"",Master!F117)</f>
        <v>0</v>
      </c>
      <c r="E13" s="320">
        <f>IF(AND(Master!G117=""),"",Master!G117)</f>
        <v>0</v>
      </c>
      <c r="F13" s="320">
        <f>IF(AND(Master!H117=""),"",Master!H117)</f>
        <v>0</v>
      </c>
      <c r="G13" s="320">
        <f>IF(AND(Master!I117=""),"",Master!I117)</f>
        <v>400</v>
      </c>
      <c r="H13" s="320">
        <f>IF(AND(Master!J117=""),"",Master!J117)</f>
        <v>0</v>
      </c>
      <c r="I13" s="321">
        <f t="shared" si="0"/>
        <v>400</v>
      </c>
      <c r="J13" s="318">
        <v>6</v>
      </c>
      <c r="K13" s="319" t="str">
        <f>IF(AND(Master!B161=""),"",Master!B161)</f>
        <v>egsUnz iVsy</v>
      </c>
      <c r="L13" s="320">
        <f>IF(AND(Master!E161=""),"",Master!E161)</f>
        <v>0</v>
      </c>
      <c r="M13" s="320">
        <f>IF(AND(Master!F161=""),"",Master!F161)</f>
        <v>0</v>
      </c>
      <c r="N13" s="320">
        <f>IF(AND(Master!G161=""),"",Master!G161)</f>
        <v>0</v>
      </c>
      <c r="O13" s="320">
        <f>IF(AND(Master!H161=""),"",Master!H161)</f>
        <v>0</v>
      </c>
      <c r="P13" s="320">
        <f>IF(AND(Master!I161=""),"",Master!I161)</f>
        <v>0</v>
      </c>
      <c r="Q13" s="320">
        <f>IF(AND(Master!J161=""),"",Master!J161)</f>
        <v>0</v>
      </c>
      <c r="R13" s="321">
        <f t="shared" si="1"/>
        <v>0</v>
      </c>
    </row>
    <row r="14" spans="1:18" s="314" customFormat="1" ht="15.95" customHeight="1">
      <c r="A14" s="318">
        <v>7</v>
      </c>
      <c r="B14" s="319" t="str">
        <f>IF(AND(Master!B118=""),"",Master!B118)</f>
        <v>ekaxhyky jkaxh</v>
      </c>
      <c r="C14" s="320">
        <f>IF(AND(Master!E118=""),"",Master!E118)</f>
        <v>0</v>
      </c>
      <c r="D14" s="320">
        <f>IF(AND(Master!F118=""),"",Master!F118)</f>
        <v>0</v>
      </c>
      <c r="E14" s="320">
        <f>IF(AND(Master!G118=""),"",Master!G118)</f>
        <v>0</v>
      </c>
      <c r="F14" s="320">
        <f>IF(AND(Master!H118=""),"",Master!H118)</f>
        <v>0</v>
      </c>
      <c r="G14" s="320">
        <f>IF(AND(Master!I118=""),"",Master!I118)</f>
        <v>800</v>
      </c>
      <c r="H14" s="320">
        <f>IF(AND(Master!J118=""),"",Master!J118)</f>
        <v>0</v>
      </c>
      <c r="I14" s="321">
        <f t="shared" si="0"/>
        <v>800</v>
      </c>
      <c r="J14" s="318">
        <v>7</v>
      </c>
      <c r="K14" s="319" t="str">
        <f>IF(AND(Master!B162=""),"",Master!B162)</f>
        <v>ekaxhyky jkaxh</v>
      </c>
      <c r="L14" s="320">
        <f>IF(AND(Master!E162=""),"",Master!E162)</f>
        <v>0</v>
      </c>
      <c r="M14" s="320">
        <f>IF(AND(Master!F162=""),"",Master!F162)</f>
        <v>0</v>
      </c>
      <c r="N14" s="320">
        <f>IF(AND(Master!G162=""),"",Master!G162)</f>
        <v>0</v>
      </c>
      <c r="O14" s="320">
        <f>IF(AND(Master!H162=""),"",Master!H162)</f>
        <v>0</v>
      </c>
      <c r="P14" s="320">
        <f>IF(AND(Master!I162=""),"",Master!I162)</f>
        <v>0</v>
      </c>
      <c r="Q14" s="320">
        <f>IF(AND(Master!J162=""),"",Master!J162)</f>
        <v>0</v>
      </c>
      <c r="R14" s="321">
        <f t="shared" si="1"/>
        <v>0</v>
      </c>
    </row>
    <row r="15" spans="1:18" s="314" customFormat="1" ht="15.95" customHeight="1">
      <c r="A15" s="318">
        <v>8</v>
      </c>
      <c r="B15" s="319" t="str">
        <f>IF(AND(Master!B119=""),"",Master!B119)</f>
        <v>lqeu dqekjh lSuh</v>
      </c>
      <c r="C15" s="320">
        <f>IF(AND(Master!E119=""),"",Master!E119)</f>
        <v>0</v>
      </c>
      <c r="D15" s="320">
        <f>IF(AND(Master!F119=""),"",Master!F119)</f>
        <v>0</v>
      </c>
      <c r="E15" s="320">
        <f>IF(AND(Master!G119=""),"",Master!G119)</f>
        <v>0</v>
      </c>
      <c r="F15" s="320">
        <f>IF(AND(Master!H119=""),"",Master!H119)</f>
        <v>0</v>
      </c>
      <c r="G15" s="320">
        <f>IF(AND(Master!I119=""),"",Master!I119)</f>
        <v>500</v>
      </c>
      <c r="H15" s="320">
        <f>IF(AND(Master!J119=""),"",Master!J119)</f>
        <v>0</v>
      </c>
      <c r="I15" s="321">
        <f t="shared" si="0"/>
        <v>500</v>
      </c>
      <c r="J15" s="318">
        <v>8</v>
      </c>
      <c r="K15" s="319" t="str">
        <f>IF(AND(Master!B163=""),"",Master!B163)</f>
        <v>lqeu dqekjh lSuh</v>
      </c>
      <c r="L15" s="320">
        <f>IF(AND(Master!E163=""),"",Master!E163)</f>
        <v>0</v>
      </c>
      <c r="M15" s="320">
        <f>IF(AND(Master!F163=""),"",Master!F163)</f>
        <v>0</v>
      </c>
      <c r="N15" s="320">
        <f>IF(AND(Master!G163=""),"",Master!G163)</f>
        <v>0</v>
      </c>
      <c r="O15" s="320">
        <f>IF(AND(Master!H163=""),"",Master!H163)</f>
        <v>0</v>
      </c>
      <c r="P15" s="320">
        <f>IF(AND(Master!I163=""),"",Master!I163)</f>
        <v>2000</v>
      </c>
      <c r="Q15" s="320">
        <f>IF(AND(Master!J163=""),"",Master!J163)</f>
        <v>0</v>
      </c>
      <c r="R15" s="321">
        <f t="shared" si="1"/>
        <v>2000</v>
      </c>
    </row>
    <row r="16" spans="1:18" s="314" customFormat="1" ht="15.95" customHeight="1">
      <c r="A16" s="318">
        <v>9</v>
      </c>
      <c r="B16" s="319" t="str">
        <f>IF(AND(Master!B120=""),"",Master!B120)</f>
        <v>lqjs'k dqekj vknjk</v>
      </c>
      <c r="C16" s="320">
        <f>IF(AND(Master!E120=""),"",Master!E120)</f>
        <v>0</v>
      </c>
      <c r="D16" s="320">
        <f>IF(AND(Master!F120=""),"",Master!F120)</f>
        <v>0</v>
      </c>
      <c r="E16" s="320">
        <f>IF(AND(Master!G120=""),"",Master!G120)</f>
        <v>0</v>
      </c>
      <c r="F16" s="320">
        <f>IF(AND(Master!H120=""),"",Master!H120)</f>
        <v>0</v>
      </c>
      <c r="G16" s="320">
        <f>IF(AND(Master!I120=""),"",Master!I120)</f>
        <v>600</v>
      </c>
      <c r="H16" s="320">
        <f>IF(AND(Master!J120=""),"",Master!J120)</f>
        <v>0</v>
      </c>
      <c r="I16" s="321">
        <f t="shared" si="0"/>
        <v>600</v>
      </c>
      <c r="J16" s="318">
        <v>9</v>
      </c>
      <c r="K16" s="319" t="str">
        <f>IF(AND(Master!B164=""),"",Master!B164)</f>
        <v>lqjs'k dqekj vknjk</v>
      </c>
      <c r="L16" s="320">
        <f>IF(AND(Master!E164=""),"",Master!E164)</f>
        <v>0</v>
      </c>
      <c r="M16" s="320">
        <f>IF(AND(Master!F164=""),"",Master!F164)</f>
        <v>0</v>
      </c>
      <c r="N16" s="320">
        <f>IF(AND(Master!G164=""),"",Master!G164)</f>
        <v>0</v>
      </c>
      <c r="O16" s="320">
        <f>IF(AND(Master!H164=""),"",Master!H164)</f>
        <v>0</v>
      </c>
      <c r="P16" s="320">
        <f>IF(AND(Master!I164=""),"",Master!I164)</f>
        <v>2000</v>
      </c>
      <c r="Q16" s="320">
        <f>IF(AND(Master!J164=""),"",Master!J164)</f>
        <v>0</v>
      </c>
      <c r="R16" s="321">
        <f t="shared" si="1"/>
        <v>2000</v>
      </c>
    </row>
    <row r="17" spans="1:18" s="314" customFormat="1" ht="15.95" customHeight="1">
      <c r="A17" s="318">
        <v>10</v>
      </c>
      <c r="B17" s="319" t="str">
        <f>IF(AND(Master!B121=""),"",Master!B121)</f>
        <v>vtquflag</v>
      </c>
      <c r="C17" s="320">
        <f>IF(AND(Master!E121=""),"",Master!E121)</f>
        <v>0</v>
      </c>
      <c r="D17" s="320">
        <f>IF(AND(Master!F121=""),"",Master!F121)</f>
        <v>0</v>
      </c>
      <c r="E17" s="320">
        <f>IF(AND(Master!G121=""),"",Master!G121)</f>
        <v>0</v>
      </c>
      <c r="F17" s="320">
        <f>IF(AND(Master!H121=""),"",Master!H121)</f>
        <v>0</v>
      </c>
      <c r="G17" s="320">
        <f>IF(AND(Master!I121=""),"",Master!I121)</f>
        <v>900</v>
      </c>
      <c r="H17" s="320">
        <f>IF(AND(Master!J121=""),"",Master!J121)</f>
        <v>0</v>
      </c>
      <c r="I17" s="321">
        <f t="shared" si="0"/>
        <v>900</v>
      </c>
      <c r="J17" s="318">
        <v>10</v>
      </c>
      <c r="K17" s="319" t="str">
        <f>IF(AND(Master!B165=""),"",Master!B165)</f>
        <v>vtquflag</v>
      </c>
      <c r="L17" s="320">
        <f>IF(AND(Master!E165=""),"",Master!E165)</f>
        <v>0</v>
      </c>
      <c r="M17" s="320">
        <f>IF(AND(Master!F165=""),"",Master!F165)</f>
        <v>0</v>
      </c>
      <c r="N17" s="320">
        <f>IF(AND(Master!G165=""),"",Master!G165)</f>
        <v>0</v>
      </c>
      <c r="O17" s="320">
        <f>IF(AND(Master!H165=""),"",Master!H165)</f>
        <v>0</v>
      </c>
      <c r="P17" s="320">
        <f>IF(AND(Master!I165=""),"",Master!I165)</f>
        <v>1500</v>
      </c>
      <c r="Q17" s="320">
        <f>IF(AND(Master!J165=""),"",Master!J165)</f>
        <v>0</v>
      </c>
      <c r="R17" s="321">
        <f t="shared" si="1"/>
        <v>1500</v>
      </c>
    </row>
    <row r="18" spans="1:18" s="314" customFormat="1" ht="15.95" customHeight="1">
      <c r="A18" s="318">
        <v>11</v>
      </c>
      <c r="B18" s="319" t="str">
        <f>IF(AND(Master!B122=""),"",Master!B122)</f>
        <v>Hkykjke</v>
      </c>
      <c r="C18" s="320">
        <f>IF(AND(Master!E122=""),"",Master!E122)</f>
        <v>0</v>
      </c>
      <c r="D18" s="320">
        <f>IF(AND(Master!F122=""),"",Master!F122)</f>
        <v>0</v>
      </c>
      <c r="E18" s="320">
        <f>IF(AND(Master!G122=""),"",Master!G122)</f>
        <v>0</v>
      </c>
      <c r="F18" s="320">
        <f>IF(AND(Master!H122=""),"",Master!H122)</f>
        <v>0</v>
      </c>
      <c r="G18" s="320">
        <f>IF(AND(Master!I122=""),"",Master!I122)</f>
        <v>750</v>
      </c>
      <c r="H18" s="320">
        <f>IF(AND(Master!J122=""),"",Master!J122)</f>
        <v>0</v>
      </c>
      <c r="I18" s="321">
        <f t="shared" si="0"/>
        <v>750</v>
      </c>
      <c r="J18" s="318">
        <v>11</v>
      </c>
      <c r="K18" s="319" t="str">
        <f>IF(AND(Master!B166=""),"",Master!B166)</f>
        <v>Hkykjke</v>
      </c>
      <c r="L18" s="320">
        <f>IF(AND(Master!E166=""),"",Master!E166)</f>
        <v>0</v>
      </c>
      <c r="M18" s="320">
        <f>IF(AND(Master!F166=""),"",Master!F166)</f>
        <v>0</v>
      </c>
      <c r="N18" s="320">
        <f>IF(AND(Master!G166=""),"",Master!G166)</f>
        <v>0</v>
      </c>
      <c r="O18" s="320">
        <f>IF(AND(Master!H166=""),"",Master!H166)</f>
        <v>0</v>
      </c>
      <c r="P18" s="320">
        <f>IF(AND(Master!I166=""),"",Master!I166)</f>
        <v>0</v>
      </c>
      <c r="Q18" s="320">
        <f>IF(AND(Master!J166=""),"",Master!J166)</f>
        <v>0</v>
      </c>
      <c r="R18" s="321">
        <f t="shared" si="1"/>
        <v>0</v>
      </c>
    </row>
    <row r="19" spans="1:18" s="314" customFormat="1" ht="15.95" customHeight="1">
      <c r="A19" s="318">
        <v>12</v>
      </c>
      <c r="B19" s="319" t="str">
        <f>IF(AND(Master!B123=""),"",Master!B123)</f>
        <v>yfyrdqekj</v>
      </c>
      <c r="C19" s="320">
        <f>IF(AND(Master!E123=""),"",Master!E123)</f>
        <v>0</v>
      </c>
      <c r="D19" s="320">
        <f>IF(AND(Master!F123=""),"",Master!F123)</f>
        <v>0</v>
      </c>
      <c r="E19" s="320">
        <f>IF(AND(Master!G123=""),"",Master!G123)</f>
        <v>0</v>
      </c>
      <c r="F19" s="320">
        <f>IF(AND(Master!H123=""),"",Master!H123)</f>
        <v>0</v>
      </c>
      <c r="G19" s="320">
        <f>IF(AND(Master!I123=""),"",Master!I123)</f>
        <v>600</v>
      </c>
      <c r="H19" s="320">
        <f>IF(AND(Master!J123=""),"",Master!J123)</f>
        <v>0</v>
      </c>
      <c r="I19" s="321">
        <f t="shared" si="0"/>
        <v>600</v>
      </c>
      <c r="J19" s="318">
        <v>12</v>
      </c>
      <c r="K19" s="319" t="str">
        <f>IF(AND(Master!B167=""),"",Master!B167)</f>
        <v>yfyrdqekj</v>
      </c>
      <c r="L19" s="320">
        <f>IF(AND(Master!E167=""),"",Master!E167)</f>
        <v>0</v>
      </c>
      <c r="M19" s="320">
        <f>IF(AND(Master!F167=""),"",Master!F167)</f>
        <v>0</v>
      </c>
      <c r="N19" s="320">
        <f>IF(AND(Master!G167=""),"",Master!G167)</f>
        <v>0</v>
      </c>
      <c r="O19" s="320">
        <f>IF(AND(Master!H167=""),"",Master!H167)</f>
        <v>0</v>
      </c>
      <c r="P19" s="320">
        <f>IF(AND(Master!I167=""),"",Master!I167)</f>
        <v>1000</v>
      </c>
      <c r="Q19" s="320">
        <f>IF(AND(Master!J167=""),"",Master!J167)</f>
        <v>0</v>
      </c>
      <c r="R19" s="321">
        <f t="shared" si="1"/>
        <v>1000</v>
      </c>
    </row>
    <row r="20" spans="1:18" s="314" customFormat="1" ht="15.95" customHeight="1">
      <c r="A20" s="318">
        <v>13</v>
      </c>
      <c r="B20" s="319" t="str">
        <f>IF(AND(Master!B124=""),"",Master!B124)</f>
        <v>_f"kds'k</v>
      </c>
      <c r="C20" s="320">
        <f>IF(AND(Master!E124=""),"",Master!E124)</f>
        <v>0</v>
      </c>
      <c r="D20" s="320">
        <f>IF(AND(Master!F124=""),"",Master!F124)</f>
        <v>0</v>
      </c>
      <c r="E20" s="320">
        <f>IF(AND(Master!G124=""),"",Master!G124)</f>
        <v>0</v>
      </c>
      <c r="F20" s="320">
        <f>IF(AND(Master!H124=""),"",Master!H124)</f>
        <v>0</v>
      </c>
      <c r="G20" s="320">
        <f>IF(AND(Master!I124=""),"",Master!I124)</f>
        <v>450</v>
      </c>
      <c r="H20" s="320">
        <f>IF(AND(Master!J124=""),"",Master!J124)</f>
        <v>0</v>
      </c>
      <c r="I20" s="321">
        <f t="shared" si="0"/>
        <v>450</v>
      </c>
      <c r="J20" s="318">
        <v>13</v>
      </c>
      <c r="K20" s="319" t="str">
        <f>IF(AND(Master!B168=""),"",Master!B168)</f>
        <v>_f"kds'k</v>
      </c>
      <c r="L20" s="320">
        <f>IF(AND(Master!E168=""),"",Master!E168)</f>
        <v>0</v>
      </c>
      <c r="M20" s="320">
        <f>IF(AND(Master!F168=""),"",Master!F168)</f>
        <v>0</v>
      </c>
      <c r="N20" s="320">
        <f>IF(AND(Master!G168=""),"",Master!G168)</f>
        <v>0</v>
      </c>
      <c r="O20" s="320">
        <f>IF(AND(Master!H168=""),"",Master!H168)</f>
        <v>0</v>
      </c>
      <c r="P20" s="320">
        <f>IF(AND(Master!I168=""),"",Master!I168)</f>
        <v>0</v>
      </c>
      <c r="Q20" s="320">
        <f>IF(AND(Master!J168=""),"",Master!J168)</f>
        <v>0</v>
      </c>
      <c r="R20" s="321">
        <f t="shared" si="1"/>
        <v>0</v>
      </c>
    </row>
    <row r="21" spans="1:18" s="314" customFormat="1" ht="15.95" customHeight="1">
      <c r="A21" s="318">
        <v>14</v>
      </c>
      <c r="B21" s="319" t="str">
        <f>IF(AND(Master!B125=""),"",Master!B125)</f>
        <v>eunhiflag</v>
      </c>
      <c r="C21" s="320">
        <f>IF(AND(Master!E125=""),"",Master!E125)</f>
        <v>0</v>
      </c>
      <c r="D21" s="320">
        <f>IF(AND(Master!F125=""),"",Master!F125)</f>
        <v>0</v>
      </c>
      <c r="E21" s="320">
        <f>IF(AND(Master!G125=""),"",Master!G125)</f>
        <v>0</v>
      </c>
      <c r="F21" s="320">
        <f>IF(AND(Master!H125=""),"",Master!H125)</f>
        <v>0</v>
      </c>
      <c r="G21" s="320">
        <f>IF(AND(Master!I125=""),"",Master!I125)</f>
        <v>550</v>
      </c>
      <c r="H21" s="320">
        <f>IF(AND(Master!J125=""),"",Master!J125)</f>
        <v>0</v>
      </c>
      <c r="I21" s="321">
        <f t="shared" si="0"/>
        <v>550</v>
      </c>
      <c r="J21" s="318">
        <v>14</v>
      </c>
      <c r="K21" s="319" t="str">
        <f>IF(AND(Master!B169=""),"",Master!B169)</f>
        <v>eunhiflag</v>
      </c>
      <c r="L21" s="320">
        <f>IF(AND(Master!E169=""),"",Master!E169)</f>
        <v>0</v>
      </c>
      <c r="M21" s="320">
        <f>IF(AND(Master!F169=""),"",Master!F169)</f>
        <v>0</v>
      </c>
      <c r="N21" s="320">
        <f>IF(AND(Master!G169=""),"",Master!G169)</f>
        <v>0</v>
      </c>
      <c r="O21" s="320">
        <f>IF(AND(Master!H169=""),"",Master!H169)</f>
        <v>0</v>
      </c>
      <c r="P21" s="320">
        <f>IF(AND(Master!I169=""),"",Master!I169)</f>
        <v>2000</v>
      </c>
      <c r="Q21" s="320">
        <f>IF(AND(Master!J169=""),"",Master!J169)</f>
        <v>0</v>
      </c>
      <c r="R21" s="321">
        <f t="shared" si="1"/>
        <v>2000</v>
      </c>
    </row>
    <row r="22" spans="1:18" s="314" customFormat="1" ht="15.95" customHeight="1">
      <c r="A22" s="318">
        <v>15</v>
      </c>
      <c r="B22" s="319" t="str">
        <f>IF(AND(Master!B126=""),"",Master!B126)</f>
        <v>vt;dqekj</v>
      </c>
      <c r="C22" s="320">
        <f>IF(AND(Master!E126=""),"",Master!E126)</f>
        <v>0</v>
      </c>
      <c r="D22" s="320">
        <f>IF(AND(Master!F126=""),"",Master!F126)</f>
        <v>0</v>
      </c>
      <c r="E22" s="320">
        <f>IF(AND(Master!G126=""),"",Master!G126)</f>
        <v>0</v>
      </c>
      <c r="F22" s="320">
        <f>IF(AND(Master!H126=""),"",Master!H126)</f>
        <v>0</v>
      </c>
      <c r="G22" s="320">
        <f>IF(AND(Master!I126=""),"",Master!I126)</f>
        <v>650</v>
      </c>
      <c r="H22" s="320">
        <f>IF(AND(Master!J126=""),"",Master!J126)</f>
        <v>0</v>
      </c>
      <c r="I22" s="321">
        <f t="shared" si="0"/>
        <v>650</v>
      </c>
      <c r="J22" s="318">
        <v>15</v>
      </c>
      <c r="K22" s="319" t="str">
        <f>IF(AND(Master!B170=""),"",Master!B170)</f>
        <v>vt;dqekj</v>
      </c>
      <c r="L22" s="320">
        <f>IF(AND(Master!E170=""),"",Master!E170)</f>
        <v>0</v>
      </c>
      <c r="M22" s="320">
        <f>IF(AND(Master!F170=""),"",Master!F170)</f>
        <v>0</v>
      </c>
      <c r="N22" s="320">
        <f>IF(AND(Master!G170=""),"",Master!G170)</f>
        <v>0</v>
      </c>
      <c r="O22" s="320">
        <f>IF(AND(Master!H170=""),"",Master!H170)</f>
        <v>0</v>
      </c>
      <c r="P22" s="320">
        <f>IF(AND(Master!I170=""),"",Master!I170)</f>
        <v>500</v>
      </c>
      <c r="Q22" s="320">
        <f>IF(AND(Master!J170=""),"",Master!J170)</f>
        <v>0</v>
      </c>
      <c r="R22" s="321">
        <f t="shared" si="1"/>
        <v>500</v>
      </c>
    </row>
    <row r="23" spans="1:18" s="314" customFormat="1" ht="15.95" customHeight="1">
      <c r="A23" s="318">
        <v>16</v>
      </c>
      <c r="B23" s="319" t="str">
        <f>IF(AND(Master!B127=""),"",Master!B127)</f>
        <v>in fjDr</v>
      </c>
      <c r="C23" s="320">
        <f>IF(AND(Master!E127=""),"",Master!E127)</f>
        <v>0</v>
      </c>
      <c r="D23" s="320">
        <f>IF(AND(Master!F127=""),"",Master!F127)</f>
        <v>0</v>
      </c>
      <c r="E23" s="320">
        <f>IF(AND(Master!G127=""),"",Master!G127)</f>
        <v>0</v>
      </c>
      <c r="F23" s="320">
        <f>IF(AND(Master!H127=""),"",Master!H127)</f>
        <v>0</v>
      </c>
      <c r="G23" s="320">
        <f>IF(AND(Master!I127=""),"",Master!I127)</f>
        <v>600</v>
      </c>
      <c r="H23" s="320">
        <f>IF(AND(Master!J127=""),"",Master!J127)</f>
        <v>0</v>
      </c>
      <c r="I23" s="321">
        <f t="shared" si="0"/>
        <v>600</v>
      </c>
      <c r="J23" s="318">
        <v>16</v>
      </c>
      <c r="K23" s="319" t="str">
        <f>IF(AND(Master!B171=""),"",Master!B171)</f>
        <v>in fjDr</v>
      </c>
      <c r="L23" s="320">
        <f>IF(AND(Master!E171=""),"",Master!E171)</f>
        <v>0</v>
      </c>
      <c r="M23" s="320">
        <f>IF(AND(Master!F171=""),"",Master!F171)</f>
        <v>0</v>
      </c>
      <c r="N23" s="320">
        <f>IF(AND(Master!G171=""),"",Master!G171)</f>
        <v>0</v>
      </c>
      <c r="O23" s="320">
        <f>IF(AND(Master!H171=""),"",Master!H171)</f>
        <v>0</v>
      </c>
      <c r="P23" s="320">
        <f>IF(AND(Master!I171=""),"",Master!I171)</f>
        <v>0</v>
      </c>
      <c r="Q23" s="320">
        <f>IF(AND(Master!J171=""),"",Master!J171)</f>
        <v>0</v>
      </c>
      <c r="R23" s="321">
        <f t="shared" si="1"/>
        <v>0</v>
      </c>
    </row>
    <row r="24" spans="1:18" s="314" customFormat="1" ht="15.95" customHeight="1">
      <c r="A24" s="318">
        <v>17</v>
      </c>
      <c r="B24" s="319" t="str">
        <f>IF(AND(Master!B128=""),"",Master!B128)</f>
        <v/>
      </c>
      <c r="C24" s="320" t="str">
        <f>IF(AND(Master!E128=""),"",Master!E128)</f>
        <v/>
      </c>
      <c r="D24" s="320" t="str">
        <f>IF(AND(Master!F128=""),"",Master!F128)</f>
        <v/>
      </c>
      <c r="E24" s="320" t="str">
        <f>IF(AND(Master!G128=""),"",Master!G128)</f>
        <v/>
      </c>
      <c r="F24" s="320" t="str">
        <f>IF(AND(Master!H128=""),"",Master!H128)</f>
        <v/>
      </c>
      <c r="G24" s="320" t="str">
        <f>IF(AND(Master!I128=""),"",Master!I128)</f>
        <v/>
      </c>
      <c r="H24" s="320" t="str">
        <f>IF(AND(Master!J128=""),"",Master!J128)</f>
        <v/>
      </c>
      <c r="I24" s="321" t="str">
        <f t="shared" si="0"/>
        <v/>
      </c>
      <c r="J24" s="318">
        <v>17</v>
      </c>
      <c r="K24" s="319" t="str">
        <f>IF(AND(Master!B172=""),"",Master!B172)</f>
        <v/>
      </c>
      <c r="L24" s="320" t="str">
        <f>IF(AND(Master!E172=""),"",Master!E172)</f>
        <v/>
      </c>
      <c r="M24" s="320" t="str">
        <f>IF(AND(Master!F172=""),"",Master!F172)</f>
        <v/>
      </c>
      <c r="N24" s="320" t="str">
        <f>IF(AND(Master!G172=""),"",Master!G172)</f>
        <v/>
      </c>
      <c r="O24" s="320" t="str">
        <f>IF(AND(Master!H172=""),"",Master!H172)</f>
        <v/>
      </c>
      <c r="P24" s="320" t="str">
        <f>IF(AND(Master!I172=""),"",Master!I172)</f>
        <v/>
      </c>
      <c r="Q24" s="320" t="str">
        <f>IF(AND(Master!J172=""),"",Master!J172)</f>
        <v/>
      </c>
      <c r="R24" s="321" t="str">
        <f t="shared" si="1"/>
        <v/>
      </c>
    </row>
    <row r="25" spans="1:18" s="314" customFormat="1" ht="15.95" customHeight="1">
      <c r="A25" s="318">
        <v>18</v>
      </c>
      <c r="B25" s="319" t="str">
        <f>IF(AND(Master!B129=""),"",Master!B129)</f>
        <v/>
      </c>
      <c r="C25" s="320" t="str">
        <f>IF(AND(Master!E129=""),"",Master!E129)</f>
        <v/>
      </c>
      <c r="D25" s="320" t="str">
        <f>IF(AND(Master!F129=""),"",Master!F129)</f>
        <v/>
      </c>
      <c r="E25" s="320" t="str">
        <f>IF(AND(Master!G129=""),"",Master!G129)</f>
        <v/>
      </c>
      <c r="F25" s="320" t="str">
        <f>IF(AND(Master!H129=""),"",Master!H129)</f>
        <v/>
      </c>
      <c r="G25" s="320" t="str">
        <f>IF(AND(Master!I129=""),"",Master!I129)</f>
        <v/>
      </c>
      <c r="H25" s="320" t="str">
        <f>IF(AND(Master!J129=""),"",Master!J129)</f>
        <v/>
      </c>
      <c r="I25" s="321" t="str">
        <f t="shared" si="0"/>
        <v/>
      </c>
      <c r="J25" s="318">
        <v>18</v>
      </c>
      <c r="K25" s="319" t="str">
        <f>IF(AND(Master!B173=""),"",Master!B173)</f>
        <v/>
      </c>
      <c r="L25" s="320" t="str">
        <f>IF(AND(Master!E173=""),"",Master!E173)</f>
        <v/>
      </c>
      <c r="M25" s="320" t="str">
        <f>IF(AND(Master!F173=""),"",Master!F173)</f>
        <v/>
      </c>
      <c r="N25" s="320" t="str">
        <f>IF(AND(Master!G173=""),"",Master!G173)</f>
        <v/>
      </c>
      <c r="O25" s="320" t="str">
        <f>IF(AND(Master!H173=""),"",Master!H173)</f>
        <v/>
      </c>
      <c r="P25" s="320" t="str">
        <f>IF(AND(Master!I173=""),"",Master!I173)</f>
        <v/>
      </c>
      <c r="Q25" s="320" t="str">
        <f>IF(AND(Master!J173=""),"",Master!J173)</f>
        <v/>
      </c>
      <c r="R25" s="321" t="str">
        <f t="shared" si="1"/>
        <v/>
      </c>
    </row>
    <row r="26" spans="1:18" s="314" customFormat="1" ht="15.95" customHeight="1">
      <c r="A26" s="318">
        <v>19</v>
      </c>
      <c r="B26" s="319" t="str">
        <f>IF(AND(Master!B130=""),"",Master!B130)</f>
        <v/>
      </c>
      <c r="C26" s="320" t="str">
        <f>IF(AND(Master!E130=""),"",Master!E130)</f>
        <v/>
      </c>
      <c r="D26" s="320" t="str">
        <f>IF(AND(Master!F130=""),"",Master!F130)</f>
        <v/>
      </c>
      <c r="E26" s="320" t="str">
        <f>IF(AND(Master!G130=""),"",Master!G130)</f>
        <v/>
      </c>
      <c r="F26" s="320" t="str">
        <f>IF(AND(Master!H130=""),"",Master!H130)</f>
        <v/>
      </c>
      <c r="G26" s="320" t="str">
        <f>IF(AND(Master!I130=""),"",Master!I130)</f>
        <v/>
      </c>
      <c r="H26" s="320" t="str">
        <f>IF(AND(Master!J130=""),"",Master!J130)</f>
        <v/>
      </c>
      <c r="I26" s="321" t="str">
        <f t="shared" si="0"/>
        <v/>
      </c>
      <c r="J26" s="318">
        <v>19</v>
      </c>
      <c r="K26" s="319" t="str">
        <f>IF(AND(Master!B174=""),"",Master!B174)</f>
        <v/>
      </c>
      <c r="L26" s="320" t="str">
        <f>IF(AND(Master!E174=""),"",Master!E174)</f>
        <v/>
      </c>
      <c r="M26" s="320" t="str">
        <f>IF(AND(Master!F174=""),"",Master!F174)</f>
        <v/>
      </c>
      <c r="N26" s="320" t="str">
        <f>IF(AND(Master!G174=""),"",Master!G174)</f>
        <v/>
      </c>
      <c r="O26" s="320" t="str">
        <f>IF(AND(Master!H174=""),"",Master!H174)</f>
        <v/>
      </c>
      <c r="P26" s="320" t="str">
        <f>IF(AND(Master!I174=""),"",Master!I174)</f>
        <v/>
      </c>
      <c r="Q26" s="320" t="str">
        <f>IF(AND(Master!J174=""),"",Master!J174)</f>
        <v/>
      </c>
      <c r="R26" s="321" t="str">
        <f t="shared" si="1"/>
        <v/>
      </c>
    </row>
    <row r="27" spans="1:18" s="314" customFormat="1" ht="15.95" customHeight="1">
      <c r="A27" s="318">
        <v>20</v>
      </c>
      <c r="B27" s="319" t="str">
        <f>IF(AND(Master!B131=""),"",Master!B131)</f>
        <v/>
      </c>
      <c r="C27" s="320" t="str">
        <f>IF(AND(Master!E131=""),"",Master!E131)</f>
        <v/>
      </c>
      <c r="D27" s="320" t="str">
        <f>IF(AND(Master!F131=""),"",Master!F131)</f>
        <v/>
      </c>
      <c r="E27" s="320" t="str">
        <f>IF(AND(Master!G131=""),"",Master!G131)</f>
        <v/>
      </c>
      <c r="F27" s="320" t="str">
        <f>IF(AND(Master!H131=""),"",Master!H131)</f>
        <v/>
      </c>
      <c r="G27" s="320" t="str">
        <f>IF(AND(Master!I131=""),"",Master!I131)</f>
        <v/>
      </c>
      <c r="H27" s="320" t="str">
        <f>IF(AND(Master!J131=""),"",Master!J131)</f>
        <v/>
      </c>
      <c r="I27" s="321" t="str">
        <f t="shared" si="0"/>
        <v/>
      </c>
      <c r="J27" s="318">
        <v>20</v>
      </c>
      <c r="K27" s="319" t="str">
        <f>IF(AND(Master!B175=""),"",Master!B175)</f>
        <v/>
      </c>
      <c r="L27" s="320" t="str">
        <f>IF(AND(Master!E175=""),"",Master!E175)</f>
        <v/>
      </c>
      <c r="M27" s="320" t="str">
        <f>IF(AND(Master!F175=""),"",Master!F175)</f>
        <v/>
      </c>
      <c r="N27" s="320" t="str">
        <f>IF(AND(Master!G175=""),"",Master!G175)</f>
        <v/>
      </c>
      <c r="O27" s="320" t="str">
        <f>IF(AND(Master!H175=""),"",Master!H175)</f>
        <v/>
      </c>
      <c r="P27" s="320" t="str">
        <f>IF(AND(Master!I175=""),"",Master!I175)</f>
        <v/>
      </c>
      <c r="Q27" s="320" t="str">
        <f>IF(AND(Master!J175=""),"",Master!J175)</f>
        <v/>
      </c>
      <c r="R27" s="321" t="str">
        <f t="shared" si="1"/>
        <v/>
      </c>
    </row>
    <row r="28" spans="1:18" s="314" customFormat="1" ht="15.95" customHeight="1">
      <c r="A28" s="318">
        <v>21</v>
      </c>
      <c r="B28" s="319" t="str">
        <f>IF(AND(Master!B132=""),"",Master!B132)</f>
        <v/>
      </c>
      <c r="C28" s="320" t="str">
        <f>IF(AND(Master!E132=""),"",Master!E132)</f>
        <v/>
      </c>
      <c r="D28" s="320" t="str">
        <f>IF(AND(Master!F132=""),"",Master!F132)</f>
        <v/>
      </c>
      <c r="E28" s="320" t="str">
        <f>IF(AND(Master!G132=""),"",Master!G132)</f>
        <v/>
      </c>
      <c r="F28" s="320" t="str">
        <f>IF(AND(Master!H132=""),"",Master!H132)</f>
        <v/>
      </c>
      <c r="G28" s="320" t="str">
        <f>IF(AND(Master!I132=""),"",Master!I132)</f>
        <v/>
      </c>
      <c r="H28" s="320" t="str">
        <f>IF(AND(Master!J132=""),"",Master!J132)</f>
        <v/>
      </c>
      <c r="I28" s="321" t="str">
        <f t="shared" si="0"/>
        <v/>
      </c>
      <c r="J28" s="318">
        <v>21</v>
      </c>
      <c r="K28" s="319" t="str">
        <f>IF(AND(Master!B176=""),"",Master!B176)</f>
        <v/>
      </c>
      <c r="L28" s="320" t="str">
        <f>IF(AND(Master!E176=""),"",Master!E176)</f>
        <v/>
      </c>
      <c r="M28" s="320" t="str">
        <f>IF(AND(Master!F176=""),"",Master!F176)</f>
        <v/>
      </c>
      <c r="N28" s="320" t="str">
        <f>IF(AND(Master!G176=""),"",Master!G176)</f>
        <v/>
      </c>
      <c r="O28" s="320" t="str">
        <f>IF(AND(Master!H176=""),"",Master!H176)</f>
        <v/>
      </c>
      <c r="P28" s="320" t="str">
        <f>IF(AND(Master!I176=""),"",Master!I176)</f>
        <v/>
      </c>
      <c r="Q28" s="320" t="str">
        <f>IF(AND(Master!J176=""),"",Master!J176)</f>
        <v/>
      </c>
      <c r="R28" s="321" t="str">
        <f t="shared" si="1"/>
        <v/>
      </c>
    </row>
    <row r="29" spans="1:18" ht="21.95" customHeight="1" thickBot="1">
      <c r="A29" s="311"/>
      <c r="B29" s="322" t="s">
        <v>419</v>
      </c>
      <c r="C29" s="315">
        <f>SUM(C8:C23)</f>
        <v>0</v>
      </c>
      <c r="D29" s="315">
        <f t="shared" ref="D29:I29" si="2">SUM(D8:D23)</f>
        <v>0</v>
      </c>
      <c r="E29" s="315">
        <f t="shared" si="2"/>
        <v>0</v>
      </c>
      <c r="F29" s="315">
        <f t="shared" si="2"/>
        <v>0</v>
      </c>
      <c r="G29" s="315">
        <f>SUM(G8:G23)</f>
        <v>13000</v>
      </c>
      <c r="H29" s="315">
        <f t="shared" si="2"/>
        <v>0</v>
      </c>
      <c r="I29" s="315">
        <f t="shared" si="2"/>
        <v>13000</v>
      </c>
      <c r="J29" s="311"/>
      <c r="K29" s="322" t="s">
        <v>419</v>
      </c>
      <c r="L29" s="315">
        <f>SUM(L8:L23)</f>
        <v>0</v>
      </c>
      <c r="M29" s="315">
        <f t="shared" ref="M29:O29" si="3">SUM(M8:M23)</f>
        <v>0</v>
      </c>
      <c r="N29" s="315">
        <f t="shared" si="3"/>
        <v>0</v>
      </c>
      <c r="O29" s="315">
        <f t="shared" si="3"/>
        <v>0</v>
      </c>
      <c r="P29" s="315">
        <f>SUM(P8:P23)</f>
        <v>12000</v>
      </c>
      <c r="Q29" s="315">
        <f t="shared" ref="Q29:R29" si="4">SUM(Q8:Q23)</f>
        <v>0</v>
      </c>
      <c r="R29" s="315">
        <f t="shared" si="4"/>
        <v>12000</v>
      </c>
    </row>
    <row r="30" spans="1:18" ht="21.95" customHeight="1" thickBot="1">
      <c r="A30" s="311"/>
      <c r="B30" s="322" t="s">
        <v>420</v>
      </c>
      <c r="C30" s="315">
        <f t="shared" ref="C30:I30" si="5">ROUNDUP(C29,-2)</f>
        <v>0</v>
      </c>
      <c r="D30" s="315">
        <f t="shared" si="5"/>
        <v>0</v>
      </c>
      <c r="E30" s="315">
        <f t="shared" si="5"/>
        <v>0</v>
      </c>
      <c r="F30" s="315">
        <f t="shared" si="5"/>
        <v>0</v>
      </c>
      <c r="G30" s="315">
        <f t="shared" si="5"/>
        <v>13000</v>
      </c>
      <c r="H30" s="315">
        <f t="shared" si="5"/>
        <v>0</v>
      </c>
      <c r="I30" s="315">
        <f t="shared" si="5"/>
        <v>13000</v>
      </c>
      <c r="J30" s="311"/>
      <c r="K30" s="322" t="s">
        <v>421</v>
      </c>
      <c r="L30" s="315">
        <f t="shared" ref="L30:R30" si="6">ROUNDUP(L29,-2)</f>
        <v>0</v>
      </c>
      <c r="M30" s="315">
        <f t="shared" si="6"/>
        <v>0</v>
      </c>
      <c r="N30" s="315">
        <f t="shared" si="6"/>
        <v>0</v>
      </c>
      <c r="O30" s="315">
        <f t="shared" si="6"/>
        <v>0</v>
      </c>
      <c r="P30" s="315">
        <f t="shared" si="6"/>
        <v>12000</v>
      </c>
      <c r="Q30" s="315">
        <f t="shared" si="6"/>
        <v>0</v>
      </c>
      <c r="R30" s="315">
        <f t="shared" si="6"/>
        <v>12000</v>
      </c>
    </row>
    <row r="31" spans="1:18">
      <c r="A31" s="309"/>
      <c r="B31" s="312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</row>
    <row r="32" spans="1:18">
      <c r="A32" s="309"/>
      <c r="B32" s="309"/>
      <c r="C32" s="309"/>
      <c r="D32" s="309"/>
      <c r="E32" s="309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ht="18.75">
      <c r="A33" s="309"/>
      <c r="B33" s="309"/>
      <c r="C33" s="309"/>
      <c r="D33" s="309"/>
      <c r="E33" s="309"/>
      <c r="F33" s="587" t="str">
        <f>Master!C2</f>
        <v>iz/kkukpk;Z</v>
      </c>
      <c r="G33" s="587"/>
      <c r="H33" s="587"/>
      <c r="I33" s="587"/>
      <c r="J33" s="222"/>
      <c r="K33" s="222"/>
      <c r="L33" s="222"/>
      <c r="M33" s="222"/>
      <c r="N33" s="222"/>
      <c r="O33" s="587" t="str">
        <f>F33</f>
        <v>iz/kkukpk;Z</v>
      </c>
      <c r="P33" s="587"/>
      <c r="Q33" s="587"/>
      <c r="R33" s="587"/>
    </row>
    <row r="34" spans="1:18" ht="15" customHeight="1">
      <c r="A34" s="309"/>
      <c r="B34" s="309"/>
      <c r="C34" s="309"/>
      <c r="D34" s="309"/>
      <c r="E34" s="309"/>
      <c r="F34" s="588" t="str">
        <f>Master!D2</f>
        <v>jktdh; vkn'kZ mPp ek/;fed fo|ky; bdygjk ¼ Mhx ½</v>
      </c>
      <c r="G34" s="588"/>
      <c r="H34" s="588"/>
      <c r="I34" s="588"/>
      <c r="J34" s="222"/>
      <c r="K34" s="222"/>
      <c r="L34" s="222"/>
      <c r="M34" s="222"/>
      <c r="N34" s="222"/>
      <c r="O34" s="588" t="str">
        <f>Master!D2</f>
        <v>jktdh; vkn'kZ mPp ek/;fed fo|ky; bdygjk ¼ Mhx ½</v>
      </c>
      <c r="P34" s="588"/>
      <c r="Q34" s="588"/>
      <c r="R34" s="588"/>
    </row>
    <row r="35" spans="1:18" ht="15" customHeight="1">
      <c r="A35" s="309"/>
      <c r="B35" s="309"/>
      <c r="C35" s="309"/>
      <c r="D35" s="309"/>
      <c r="E35" s="309"/>
      <c r="F35" s="588"/>
      <c r="G35" s="588"/>
      <c r="H35" s="588"/>
      <c r="I35" s="588"/>
      <c r="J35" s="222"/>
      <c r="K35" s="222"/>
      <c r="L35" s="222"/>
      <c r="M35" s="222"/>
      <c r="N35" s="222"/>
      <c r="O35" s="588"/>
      <c r="P35" s="588"/>
      <c r="Q35" s="588"/>
      <c r="R35" s="588"/>
    </row>
    <row r="36" spans="1:18" ht="15" customHeight="1">
      <c r="A36" s="309"/>
      <c r="B36" s="309"/>
      <c r="C36" s="309"/>
      <c r="D36" s="309"/>
      <c r="E36" s="309"/>
      <c r="F36" s="588"/>
      <c r="G36" s="588"/>
      <c r="H36" s="588"/>
      <c r="I36" s="588"/>
      <c r="J36" s="222"/>
      <c r="K36" s="222"/>
      <c r="L36" s="222"/>
      <c r="M36" s="222"/>
      <c r="N36" s="222"/>
      <c r="O36" s="588"/>
      <c r="P36" s="588"/>
      <c r="Q36" s="588"/>
      <c r="R36" s="588"/>
    </row>
    <row r="37" spans="1:18"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</row>
  </sheetData>
  <protectedRanges>
    <protectedRange sqref="C8:H28 L8:Q28" name="Range1_1"/>
  </protectedRanges>
  <mergeCells count="20">
    <mergeCell ref="G1:I1"/>
    <mergeCell ref="P1:R1"/>
    <mergeCell ref="A2:I2"/>
    <mergeCell ref="J2:R2"/>
    <mergeCell ref="A3:I3"/>
    <mergeCell ref="J3:R3"/>
    <mergeCell ref="F33:I33"/>
    <mergeCell ref="O33:R33"/>
    <mergeCell ref="F34:I36"/>
    <mergeCell ref="O34:R36"/>
    <mergeCell ref="A4:I4"/>
    <mergeCell ref="J4:R4"/>
    <mergeCell ref="A5:I5"/>
    <mergeCell ref="J5:R5"/>
    <mergeCell ref="A6:A7"/>
    <mergeCell ref="B6:B7"/>
    <mergeCell ref="I6:I7"/>
    <mergeCell ref="J6:J7"/>
    <mergeCell ref="K6:K7"/>
    <mergeCell ref="R6:R7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U43"/>
  <sheetViews>
    <sheetView workbookViewId="0">
      <selection activeCell="X14" sqref="X14"/>
    </sheetView>
  </sheetViews>
  <sheetFormatPr defaultRowHeight="15"/>
  <cols>
    <col min="1" max="1" width="10.5703125" customWidth="1"/>
    <col min="2" max="2" width="7.140625" customWidth="1"/>
    <col min="3" max="3" width="5.85546875" customWidth="1"/>
    <col min="4" max="4" width="6.140625" customWidth="1"/>
    <col min="5" max="5" width="3.7109375" customWidth="1"/>
    <col min="6" max="6" width="2.7109375" customWidth="1"/>
    <col min="7" max="7" width="4.7109375" bestFit="1" customWidth="1"/>
    <col min="8" max="8" width="3" customWidth="1"/>
    <col min="9" max="9" width="3.7109375" customWidth="1"/>
    <col min="10" max="10" width="2.42578125" customWidth="1"/>
    <col min="11" max="11" width="7.140625" customWidth="1"/>
    <col min="12" max="12" width="3.7109375" customWidth="1"/>
    <col min="13" max="13" width="2.7109375" customWidth="1"/>
    <col min="14" max="14" width="4.7109375" bestFit="1" customWidth="1"/>
    <col min="15" max="15" width="3" customWidth="1"/>
    <col min="16" max="16" width="3.7109375" customWidth="1"/>
    <col min="17" max="17" width="2.42578125" customWidth="1"/>
    <col min="18" max="18" width="7.140625" customWidth="1"/>
    <col min="19" max="19" width="7.85546875" customWidth="1"/>
    <col min="20" max="20" width="7.28515625" customWidth="1"/>
    <col min="21" max="21" width="9.85546875" customWidth="1"/>
  </cols>
  <sheetData>
    <row r="1" spans="1:21" ht="23.25">
      <c r="A1" s="736" t="str">
        <f>Summary!$A$2</f>
        <v>iz/kkukpk;Z jktdh; vkn'kZ mPp ek/;fed fo|ky; bdygjk ¼ Mhx ½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</row>
    <row r="2" spans="1:21" ht="18.75">
      <c r="A2" s="653" t="s">
        <v>457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</row>
    <row r="3" spans="1:21" ht="19.5" thickBot="1">
      <c r="A3" s="737" t="s">
        <v>444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737"/>
      <c r="Q3" s="737"/>
      <c r="R3" s="737"/>
      <c r="S3" s="737"/>
      <c r="T3" s="737"/>
      <c r="U3" s="737"/>
    </row>
    <row r="4" spans="1:21" ht="20.25" customHeight="1">
      <c r="A4" s="726" t="s">
        <v>445</v>
      </c>
      <c r="B4" s="727" t="s">
        <v>456</v>
      </c>
      <c r="C4" s="727"/>
      <c r="D4" s="727" t="s">
        <v>446</v>
      </c>
      <c r="E4" s="729" t="s">
        <v>661</v>
      </c>
      <c r="F4" s="730"/>
      <c r="G4" s="730"/>
      <c r="H4" s="730"/>
      <c r="I4" s="730"/>
      <c r="J4" s="730"/>
      <c r="K4" s="731"/>
      <c r="L4" s="729" t="s">
        <v>662</v>
      </c>
      <c r="M4" s="730"/>
      <c r="N4" s="730"/>
      <c r="O4" s="730"/>
      <c r="P4" s="730"/>
      <c r="Q4" s="730"/>
      <c r="R4" s="731"/>
      <c r="S4" s="727" t="s">
        <v>447</v>
      </c>
      <c r="T4" s="727"/>
      <c r="U4" s="735"/>
    </row>
    <row r="5" spans="1:21" ht="15.75">
      <c r="A5" s="721"/>
      <c r="B5" s="728"/>
      <c r="C5" s="728"/>
      <c r="D5" s="728"/>
      <c r="E5" s="732"/>
      <c r="F5" s="733"/>
      <c r="G5" s="733"/>
      <c r="H5" s="733"/>
      <c r="I5" s="733"/>
      <c r="J5" s="733"/>
      <c r="K5" s="734"/>
      <c r="L5" s="732"/>
      <c r="M5" s="733"/>
      <c r="N5" s="733"/>
      <c r="O5" s="733"/>
      <c r="P5" s="733"/>
      <c r="Q5" s="733"/>
      <c r="R5" s="734"/>
      <c r="S5" s="398" t="s">
        <v>448</v>
      </c>
      <c r="T5" s="398" t="s">
        <v>45</v>
      </c>
      <c r="U5" s="399" t="s">
        <v>449</v>
      </c>
    </row>
    <row r="6" spans="1:21">
      <c r="A6" s="372">
        <v>1</v>
      </c>
      <c r="B6" s="714">
        <v>2</v>
      </c>
      <c r="C6" s="714"/>
      <c r="D6" s="373">
        <v>3</v>
      </c>
      <c r="E6" s="715">
        <v>4</v>
      </c>
      <c r="F6" s="716"/>
      <c r="G6" s="716"/>
      <c r="H6" s="716"/>
      <c r="I6" s="716"/>
      <c r="J6" s="716"/>
      <c r="K6" s="717"/>
      <c r="L6" s="718">
        <v>5</v>
      </c>
      <c r="M6" s="719"/>
      <c r="N6" s="719"/>
      <c r="O6" s="719"/>
      <c r="P6" s="719"/>
      <c r="Q6" s="719"/>
      <c r="R6" s="720"/>
      <c r="S6" s="373">
        <v>6</v>
      </c>
      <c r="T6" s="373">
        <v>7</v>
      </c>
      <c r="U6" s="374">
        <v>8</v>
      </c>
    </row>
    <row r="7" spans="1:21" ht="15.75">
      <c r="A7" s="721" t="s">
        <v>450</v>
      </c>
      <c r="B7" s="398" t="s">
        <v>455</v>
      </c>
      <c r="C7" s="375">
        <f>Namankan!I12+Namankan!I13+Namankan!I14</f>
        <v>8</v>
      </c>
      <c r="D7" s="376">
        <v>75</v>
      </c>
      <c r="E7" s="377">
        <f t="shared" ref="E7:E12" si="0">C7</f>
        <v>8</v>
      </c>
      <c r="F7" s="378" t="s">
        <v>368</v>
      </c>
      <c r="G7" s="378">
        <f t="shared" ref="G7:G12" si="1">D7</f>
        <v>75</v>
      </c>
      <c r="H7" s="378" t="s">
        <v>368</v>
      </c>
      <c r="I7" s="378">
        <v>10</v>
      </c>
      <c r="J7" s="378" t="s">
        <v>451</v>
      </c>
      <c r="K7" s="379">
        <f>E7*G7*I7</f>
        <v>6000</v>
      </c>
      <c r="L7" s="377">
        <f>IF(C7&lt;=0,0,(E7+5))</f>
        <v>13</v>
      </c>
      <c r="M7" s="378" t="s">
        <v>368</v>
      </c>
      <c r="N7" s="378">
        <f>D7</f>
        <v>75</v>
      </c>
      <c r="O7" s="378" t="s">
        <v>368</v>
      </c>
      <c r="P7" s="378">
        <v>10</v>
      </c>
      <c r="Q7" s="378" t="s">
        <v>451</v>
      </c>
      <c r="R7" s="379">
        <f t="shared" ref="R7:R12" si="2">L7*N7*P7</f>
        <v>9750</v>
      </c>
      <c r="S7" s="380"/>
      <c r="T7" s="380"/>
      <c r="U7" s="381"/>
    </row>
    <row r="8" spans="1:21" ht="15.75">
      <c r="A8" s="721"/>
      <c r="B8" s="398" t="s">
        <v>454</v>
      </c>
      <c r="C8" s="375">
        <f>Namankan!J12+Namankan!J13+Namankan!J14</f>
        <v>5</v>
      </c>
      <c r="D8" s="375">
        <v>125</v>
      </c>
      <c r="E8" s="377">
        <f t="shared" si="0"/>
        <v>5</v>
      </c>
      <c r="F8" s="378" t="s">
        <v>368</v>
      </c>
      <c r="G8" s="378">
        <f t="shared" si="1"/>
        <v>125</v>
      </c>
      <c r="H8" s="378" t="s">
        <v>368</v>
      </c>
      <c r="I8" s="378">
        <v>10</v>
      </c>
      <c r="J8" s="378" t="s">
        <v>451</v>
      </c>
      <c r="K8" s="379">
        <f t="shared" ref="K8:K12" si="3">E8*G8*I8</f>
        <v>6250</v>
      </c>
      <c r="L8" s="377">
        <f t="shared" ref="L8:L12" si="4">IF(C8&lt;=0,0,(E8+5))</f>
        <v>10</v>
      </c>
      <c r="M8" s="378" t="s">
        <v>368</v>
      </c>
      <c r="N8" s="378">
        <f>D8</f>
        <v>125</v>
      </c>
      <c r="O8" s="378" t="s">
        <v>368</v>
      </c>
      <c r="P8" s="378">
        <v>10</v>
      </c>
      <c r="Q8" s="378" t="s">
        <v>451</v>
      </c>
      <c r="R8" s="379">
        <f t="shared" si="2"/>
        <v>12500</v>
      </c>
      <c r="S8" s="380"/>
      <c r="T8" s="380"/>
      <c r="U8" s="381"/>
    </row>
    <row r="9" spans="1:21" ht="15.75">
      <c r="A9" s="721" t="s">
        <v>452</v>
      </c>
      <c r="B9" s="398" t="s">
        <v>455</v>
      </c>
      <c r="C9" s="375">
        <f>Namankan!I15+Namankan!I16</f>
        <v>10</v>
      </c>
      <c r="D9" s="375">
        <v>225</v>
      </c>
      <c r="E9" s="377">
        <f t="shared" si="0"/>
        <v>10</v>
      </c>
      <c r="F9" s="378" t="s">
        <v>368</v>
      </c>
      <c r="G9" s="378">
        <f t="shared" si="1"/>
        <v>225</v>
      </c>
      <c r="H9" s="378" t="s">
        <v>368</v>
      </c>
      <c r="I9" s="378">
        <v>10</v>
      </c>
      <c r="J9" s="378" t="s">
        <v>451</v>
      </c>
      <c r="K9" s="379">
        <f t="shared" si="3"/>
        <v>22500</v>
      </c>
      <c r="L9" s="377">
        <f t="shared" si="4"/>
        <v>15</v>
      </c>
      <c r="M9" s="378" t="s">
        <v>368</v>
      </c>
      <c r="N9" s="378">
        <f>D9</f>
        <v>225</v>
      </c>
      <c r="O9" s="378" t="s">
        <v>368</v>
      </c>
      <c r="P9" s="378">
        <v>10</v>
      </c>
      <c r="Q9" s="378" t="s">
        <v>451</v>
      </c>
      <c r="R9" s="379">
        <f t="shared" si="2"/>
        <v>33750</v>
      </c>
      <c r="S9" s="380"/>
      <c r="T9" s="380"/>
      <c r="U9" s="381"/>
    </row>
    <row r="10" spans="1:21" ht="15.75">
      <c r="A10" s="722"/>
      <c r="B10" s="400" t="s">
        <v>454</v>
      </c>
      <c r="C10" s="382">
        <f>Namankan!J15+Namankan!J16</f>
        <v>3</v>
      </c>
      <c r="D10" s="382">
        <v>225</v>
      </c>
      <c r="E10" s="377">
        <f t="shared" si="0"/>
        <v>3</v>
      </c>
      <c r="F10" s="378" t="s">
        <v>368</v>
      </c>
      <c r="G10" s="378">
        <f t="shared" si="1"/>
        <v>225</v>
      </c>
      <c r="H10" s="378" t="s">
        <v>368</v>
      </c>
      <c r="I10" s="378">
        <v>10</v>
      </c>
      <c r="J10" s="378" t="s">
        <v>451</v>
      </c>
      <c r="K10" s="379">
        <f t="shared" si="3"/>
        <v>6750</v>
      </c>
      <c r="L10" s="377">
        <f t="shared" si="4"/>
        <v>8</v>
      </c>
      <c r="M10" s="378" t="s">
        <v>368</v>
      </c>
      <c r="N10" s="378">
        <v>100</v>
      </c>
      <c r="O10" s="378" t="s">
        <v>368</v>
      </c>
      <c r="P10" s="378">
        <v>10</v>
      </c>
      <c r="Q10" s="378" t="s">
        <v>451</v>
      </c>
      <c r="R10" s="379">
        <f t="shared" si="2"/>
        <v>8000</v>
      </c>
      <c r="S10" s="383"/>
      <c r="T10" s="383"/>
      <c r="U10" s="384"/>
    </row>
    <row r="11" spans="1:21" ht="15.75">
      <c r="A11" s="721" t="s">
        <v>453</v>
      </c>
      <c r="B11" s="398" t="s">
        <v>455</v>
      </c>
      <c r="C11" s="375">
        <f>Namankan!I17+Namankan!I18</f>
        <v>2</v>
      </c>
      <c r="D11" s="375">
        <v>230</v>
      </c>
      <c r="E11" s="377">
        <f t="shared" si="0"/>
        <v>2</v>
      </c>
      <c r="F11" s="378" t="s">
        <v>368</v>
      </c>
      <c r="G11" s="378">
        <f t="shared" si="1"/>
        <v>230</v>
      </c>
      <c r="H11" s="378" t="s">
        <v>368</v>
      </c>
      <c r="I11" s="378">
        <v>10</v>
      </c>
      <c r="J11" s="378" t="s">
        <v>451</v>
      </c>
      <c r="K11" s="379">
        <f t="shared" si="3"/>
        <v>4600</v>
      </c>
      <c r="L11" s="377">
        <f t="shared" si="4"/>
        <v>7</v>
      </c>
      <c r="M11" s="378" t="s">
        <v>368</v>
      </c>
      <c r="N11" s="378">
        <f>D11</f>
        <v>230</v>
      </c>
      <c r="O11" s="378" t="s">
        <v>368</v>
      </c>
      <c r="P11" s="378">
        <v>10</v>
      </c>
      <c r="Q11" s="378" t="s">
        <v>451</v>
      </c>
      <c r="R11" s="379">
        <f t="shared" si="2"/>
        <v>16100</v>
      </c>
      <c r="S11" s="380"/>
      <c r="T11" s="380"/>
      <c r="U11" s="381"/>
    </row>
    <row r="12" spans="1:21" ht="16.5" thickBot="1">
      <c r="A12" s="722"/>
      <c r="B12" s="400" t="s">
        <v>454</v>
      </c>
      <c r="C12" s="382">
        <f>Namankan!J17+Namankan!J18</f>
        <v>4</v>
      </c>
      <c r="D12" s="382">
        <v>230</v>
      </c>
      <c r="E12" s="377">
        <f t="shared" si="0"/>
        <v>4</v>
      </c>
      <c r="F12" s="378" t="s">
        <v>368</v>
      </c>
      <c r="G12" s="378">
        <f t="shared" si="1"/>
        <v>230</v>
      </c>
      <c r="H12" s="378" t="s">
        <v>368</v>
      </c>
      <c r="I12" s="378">
        <v>10</v>
      </c>
      <c r="J12" s="378" t="s">
        <v>451</v>
      </c>
      <c r="K12" s="379">
        <f t="shared" si="3"/>
        <v>9200</v>
      </c>
      <c r="L12" s="377">
        <f t="shared" si="4"/>
        <v>9</v>
      </c>
      <c r="M12" s="378" t="s">
        <v>368</v>
      </c>
      <c r="N12" s="378">
        <v>100</v>
      </c>
      <c r="O12" s="378" t="s">
        <v>368</v>
      </c>
      <c r="P12" s="378">
        <v>10</v>
      </c>
      <c r="Q12" s="378" t="s">
        <v>451</v>
      </c>
      <c r="R12" s="379">
        <f t="shared" si="2"/>
        <v>9000</v>
      </c>
      <c r="S12" s="383"/>
      <c r="T12" s="383"/>
      <c r="U12" s="384"/>
    </row>
    <row r="13" spans="1:21" ht="16.5" thickBot="1">
      <c r="A13" s="710" t="s">
        <v>40</v>
      </c>
      <c r="B13" s="711"/>
      <c r="C13" s="711"/>
      <c r="D13" s="712"/>
      <c r="E13" s="385"/>
      <c r="F13" s="386"/>
      <c r="G13" s="386"/>
      <c r="H13" s="386"/>
      <c r="I13" s="387"/>
      <c r="J13" s="387"/>
      <c r="K13" s="388">
        <f>SUM(K7:K12)</f>
        <v>55300</v>
      </c>
      <c r="L13" s="389"/>
      <c r="M13" s="387"/>
      <c r="N13" s="387"/>
      <c r="O13" s="387"/>
      <c r="P13" s="387"/>
      <c r="Q13" s="387"/>
      <c r="R13" s="388">
        <f>SUM(R7:R12)</f>
        <v>89100</v>
      </c>
      <c r="S13" s="390"/>
      <c r="T13" s="390"/>
      <c r="U13" s="391"/>
    </row>
    <row r="14" spans="1:21" ht="20.25">
      <c r="A14" s="723" t="str">
        <f>Summary!$A$2</f>
        <v>iz/kkukpk;Z jktdh; vkn'kZ mPp ek/;fed fo|ky; bdygjk ¼ Mhx ½</v>
      </c>
      <c r="B14" s="723"/>
      <c r="C14" s="723"/>
      <c r="D14" s="723"/>
      <c r="E14" s="723"/>
      <c r="F14" s="723"/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723"/>
      <c r="R14" s="723"/>
      <c r="S14" s="723"/>
      <c r="T14" s="723"/>
      <c r="U14" s="723"/>
    </row>
    <row r="15" spans="1:21" ht="20.25">
      <c r="A15" s="724" t="s">
        <v>457</v>
      </c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</row>
    <row r="16" spans="1:21" ht="21" thickBot="1">
      <c r="A16" s="725" t="s">
        <v>458</v>
      </c>
      <c r="B16" s="725"/>
      <c r="C16" s="725"/>
      <c r="D16" s="725"/>
      <c r="E16" s="725"/>
      <c r="F16" s="725"/>
      <c r="G16" s="725"/>
      <c r="H16" s="725"/>
      <c r="I16" s="725"/>
      <c r="J16" s="725"/>
      <c r="K16" s="725"/>
      <c r="L16" s="725"/>
      <c r="M16" s="725"/>
      <c r="N16" s="725"/>
      <c r="O16" s="725"/>
      <c r="P16" s="725"/>
      <c r="Q16" s="725"/>
      <c r="R16" s="725"/>
      <c r="S16" s="725"/>
      <c r="T16" s="725"/>
      <c r="U16" s="725"/>
    </row>
    <row r="17" spans="1:21" ht="20.25" customHeight="1">
      <c r="A17" s="726" t="s">
        <v>445</v>
      </c>
      <c r="B17" s="727" t="s">
        <v>456</v>
      </c>
      <c r="C17" s="727"/>
      <c r="D17" s="727" t="s">
        <v>446</v>
      </c>
      <c r="E17" s="729" t="s">
        <v>661</v>
      </c>
      <c r="F17" s="730"/>
      <c r="G17" s="730"/>
      <c r="H17" s="730"/>
      <c r="I17" s="730"/>
      <c r="J17" s="730"/>
      <c r="K17" s="731"/>
      <c r="L17" s="729" t="s">
        <v>662</v>
      </c>
      <c r="M17" s="730"/>
      <c r="N17" s="730"/>
      <c r="O17" s="730"/>
      <c r="P17" s="730"/>
      <c r="Q17" s="730"/>
      <c r="R17" s="731"/>
      <c r="S17" s="727" t="s">
        <v>447</v>
      </c>
      <c r="T17" s="727"/>
      <c r="U17" s="735"/>
    </row>
    <row r="18" spans="1:21" ht="15.75">
      <c r="A18" s="721"/>
      <c r="B18" s="728"/>
      <c r="C18" s="728"/>
      <c r="D18" s="728"/>
      <c r="E18" s="732"/>
      <c r="F18" s="733"/>
      <c r="G18" s="733"/>
      <c r="H18" s="733"/>
      <c r="I18" s="733"/>
      <c r="J18" s="733"/>
      <c r="K18" s="734"/>
      <c r="L18" s="732"/>
      <c r="M18" s="733"/>
      <c r="N18" s="733"/>
      <c r="O18" s="733"/>
      <c r="P18" s="733"/>
      <c r="Q18" s="733"/>
      <c r="R18" s="734"/>
      <c r="S18" s="398" t="s">
        <v>448</v>
      </c>
      <c r="T18" s="398" t="s">
        <v>45</v>
      </c>
      <c r="U18" s="399" t="s">
        <v>449</v>
      </c>
    </row>
    <row r="19" spans="1:21">
      <c r="A19" s="372">
        <v>1</v>
      </c>
      <c r="B19" s="714">
        <v>2</v>
      </c>
      <c r="C19" s="714"/>
      <c r="D19" s="373">
        <v>3</v>
      </c>
      <c r="E19" s="715">
        <v>4</v>
      </c>
      <c r="F19" s="716"/>
      <c r="G19" s="716"/>
      <c r="H19" s="716"/>
      <c r="I19" s="716"/>
      <c r="J19" s="716"/>
      <c r="K19" s="717"/>
      <c r="L19" s="718">
        <v>5</v>
      </c>
      <c r="M19" s="719"/>
      <c r="N19" s="719"/>
      <c r="O19" s="719"/>
      <c r="P19" s="719"/>
      <c r="Q19" s="719"/>
      <c r="R19" s="720"/>
      <c r="S19" s="373">
        <v>6</v>
      </c>
      <c r="T19" s="373">
        <v>7</v>
      </c>
      <c r="U19" s="374">
        <v>8</v>
      </c>
    </row>
    <row r="20" spans="1:21" ht="15.75">
      <c r="A20" s="721" t="s">
        <v>450</v>
      </c>
      <c r="B20" s="398" t="s">
        <v>455</v>
      </c>
      <c r="C20" s="375">
        <f>Namankan!F12+Namankan!F13+Namankan!F14</f>
        <v>0</v>
      </c>
      <c r="D20" s="376">
        <v>75</v>
      </c>
      <c r="E20" s="377">
        <f t="shared" ref="E20:E25" si="5">C20</f>
        <v>0</v>
      </c>
      <c r="F20" s="378" t="s">
        <v>368</v>
      </c>
      <c r="G20" s="378">
        <f t="shared" ref="G20:G25" si="6">D20</f>
        <v>75</v>
      </c>
      <c r="H20" s="378" t="s">
        <v>368</v>
      </c>
      <c r="I20" s="378">
        <v>10</v>
      </c>
      <c r="J20" s="378" t="s">
        <v>451</v>
      </c>
      <c r="K20" s="379">
        <f t="shared" ref="K20:K25" si="7">E20*G20*I20</f>
        <v>0</v>
      </c>
      <c r="L20" s="377">
        <f t="shared" ref="L20:L25" si="8">IF(C20&lt;=0,0,(E20+5))</f>
        <v>0</v>
      </c>
      <c r="M20" s="378" t="s">
        <v>368</v>
      </c>
      <c r="N20" s="378">
        <f>D20</f>
        <v>75</v>
      </c>
      <c r="O20" s="378" t="s">
        <v>368</v>
      </c>
      <c r="P20" s="378">
        <v>10</v>
      </c>
      <c r="Q20" s="378" t="s">
        <v>451</v>
      </c>
      <c r="R20" s="379">
        <f t="shared" ref="R20:R25" si="9">L20*N20*P20</f>
        <v>0</v>
      </c>
      <c r="S20" s="380"/>
      <c r="T20" s="380"/>
      <c r="U20" s="381"/>
    </row>
    <row r="21" spans="1:21" ht="15.75">
      <c r="A21" s="721"/>
      <c r="B21" s="398" t="s">
        <v>454</v>
      </c>
      <c r="C21" s="375">
        <f>Namankan!G12+Namankan!G13+Namankan!G14</f>
        <v>0</v>
      </c>
      <c r="D21" s="375">
        <v>125</v>
      </c>
      <c r="E21" s="377">
        <f t="shared" si="5"/>
        <v>0</v>
      </c>
      <c r="F21" s="378" t="s">
        <v>368</v>
      </c>
      <c r="G21" s="378">
        <f t="shared" si="6"/>
        <v>125</v>
      </c>
      <c r="H21" s="378" t="s">
        <v>368</v>
      </c>
      <c r="I21" s="378">
        <v>10</v>
      </c>
      <c r="J21" s="378" t="s">
        <v>451</v>
      </c>
      <c r="K21" s="379">
        <f t="shared" si="7"/>
        <v>0</v>
      </c>
      <c r="L21" s="377">
        <f t="shared" si="8"/>
        <v>0</v>
      </c>
      <c r="M21" s="378" t="s">
        <v>368</v>
      </c>
      <c r="N21" s="378">
        <f>D21</f>
        <v>125</v>
      </c>
      <c r="O21" s="378" t="s">
        <v>368</v>
      </c>
      <c r="P21" s="378">
        <v>10</v>
      </c>
      <c r="Q21" s="378" t="s">
        <v>451</v>
      </c>
      <c r="R21" s="379">
        <f t="shared" si="9"/>
        <v>0</v>
      </c>
      <c r="S21" s="380"/>
      <c r="T21" s="380"/>
      <c r="U21" s="381"/>
    </row>
    <row r="22" spans="1:21" ht="15.75">
      <c r="A22" s="721" t="s">
        <v>452</v>
      </c>
      <c r="B22" s="398" t="s">
        <v>455</v>
      </c>
      <c r="C22" s="375">
        <f>Namankan!F15+Namankan!F16</f>
        <v>0</v>
      </c>
      <c r="D22" s="375">
        <v>225</v>
      </c>
      <c r="E22" s="377">
        <f t="shared" si="5"/>
        <v>0</v>
      </c>
      <c r="F22" s="378" t="s">
        <v>368</v>
      </c>
      <c r="G22" s="378">
        <f t="shared" si="6"/>
        <v>225</v>
      </c>
      <c r="H22" s="378" t="s">
        <v>368</v>
      </c>
      <c r="I22" s="378">
        <v>10</v>
      </c>
      <c r="J22" s="378" t="s">
        <v>451</v>
      </c>
      <c r="K22" s="379">
        <f t="shared" si="7"/>
        <v>0</v>
      </c>
      <c r="L22" s="377">
        <f t="shared" si="8"/>
        <v>0</v>
      </c>
      <c r="M22" s="378" t="s">
        <v>368</v>
      </c>
      <c r="N22" s="378">
        <f>D22</f>
        <v>225</v>
      </c>
      <c r="O22" s="378" t="s">
        <v>368</v>
      </c>
      <c r="P22" s="378">
        <v>10</v>
      </c>
      <c r="Q22" s="378" t="s">
        <v>451</v>
      </c>
      <c r="R22" s="379">
        <f t="shared" si="9"/>
        <v>0</v>
      </c>
      <c r="S22" s="380"/>
      <c r="T22" s="380"/>
      <c r="U22" s="381"/>
    </row>
    <row r="23" spans="1:21" ht="15.75">
      <c r="A23" s="722"/>
      <c r="B23" s="400" t="s">
        <v>454</v>
      </c>
      <c r="C23" s="382">
        <f>Namankan!G15+Namankan!G16</f>
        <v>0</v>
      </c>
      <c r="D23" s="382">
        <v>225</v>
      </c>
      <c r="E23" s="377">
        <f t="shared" si="5"/>
        <v>0</v>
      </c>
      <c r="F23" s="378" t="s">
        <v>368</v>
      </c>
      <c r="G23" s="378">
        <f t="shared" si="6"/>
        <v>225</v>
      </c>
      <c r="H23" s="378" t="s">
        <v>368</v>
      </c>
      <c r="I23" s="378">
        <v>10</v>
      </c>
      <c r="J23" s="378" t="s">
        <v>451</v>
      </c>
      <c r="K23" s="379">
        <f t="shared" si="7"/>
        <v>0</v>
      </c>
      <c r="L23" s="377">
        <f t="shared" si="8"/>
        <v>0</v>
      </c>
      <c r="M23" s="378" t="s">
        <v>368</v>
      </c>
      <c r="N23" s="378">
        <v>100</v>
      </c>
      <c r="O23" s="378" t="s">
        <v>368</v>
      </c>
      <c r="P23" s="378">
        <v>10</v>
      </c>
      <c r="Q23" s="378" t="s">
        <v>451</v>
      </c>
      <c r="R23" s="379">
        <f t="shared" si="9"/>
        <v>0</v>
      </c>
      <c r="S23" s="383"/>
      <c r="T23" s="383"/>
      <c r="U23" s="384"/>
    </row>
    <row r="24" spans="1:21" ht="15.75">
      <c r="A24" s="721" t="s">
        <v>453</v>
      </c>
      <c r="B24" s="398" t="s">
        <v>455</v>
      </c>
      <c r="C24" s="375">
        <f>Namankan!F17+Namankan!F18</f>
        <v>0</v>
      </c>
      <c r="D24" s="375">
        <v>230</v>
      </c>
      <c r="E24" s="377">
        <f t="shared" si="5"/>
        <v>0</v>
      </c>
      <c r="F24" s="378" t="s">
        <v>368</v>
      </c>
      <c r="G24" s="378">
        <f t="shared" si="6"/>
        <v>230</v>
      </c>
      <c r="H24" s="378" t="s">
        <v>368</v>
      </c>
      <c r="I24" s="378">
        <v>10</v>
      </c>
      <c r="J24" s="378" t="s">
        <v>451</v>
      </c>
      <c r="K24" s="379">
        <f t="shared" si="7"/>
        <v>0</v>
      </c>
      <c r="L24" s="377">
        <f t="shared" si="8"/>
        <v>0</v>
      </c>
      <c r="M24" s="378" t="s">
        <v>368</v>
      </c>
      <c r="N24" s="378">
        <f>D24</f>
        <v>230</v>
      </c>
      <c r="O24" s="378" t="s">
        <v>368</v>
      </c>
      <c r="P24" s="378">
        <v>10</v>
      </c>
      <c r="Q24" s="378" t="s">
        <v>451</v>
      </c>
      <c r="R24" s="379">
        <f t="shared" si="9"/>
        <v>0</v>
      </c>
      <c r="S24" s="380"/>
      <c r="T24" s="380"/>
      <c r="U24" s="381"/>
    </row>
    <row r="25" spans="1:21" ht="16.5" thickBot="1">
      <c r="A25" s="722"/>
      <c r="B25" s="400" t="s">
        <v>454</v>
      </c>
      <c r="C25" s="382">
        <f>Namankan!G17+Namankan!G18</f>
        <v>1</v>
      </c>
      <c r="D25" s="382">
        <v>230</v>
      </c>
      <c r="E25" s="377">
        <f t="shared" si="5"/>
        <v>1</v>
      </c>
      <c r="F25" s="378" t="s">
        <v>368</v>
      </c>
      <c r="G25" s="378">
        <f t="shared" si="6"/>
        <v>230</v>
      </c>
      <c r="H25" s="378" t="s">
        <v>368</v>
      </c>
      <c r="I25" s="378">
        <v>10</v>
      </c>
      <c r="J25" s="378" t="s">
        <v>451</v>
      </c>
      <c r="K25" s="379">
        <f t="shared" si="7"/>
        <v>2300</v>
      </c>
      <c r="L25" s="377">
        <f t="shared" si="8"/>
        <v>6</v>
      </c>
      <c r="M25" s="378" t="s">
        <v>368</v>
      </c>
      <c r="N25" s="378">
        <v>100</v>
      </c>
      <c r="O25" s="378" t="s">
        <v>368</v>
      </c>
      <c r="P25" s="378">
        <v>10</v>
      </c>
      <c r="Q25" s="378" t="s">
        <v>451</v>
      </c>
      <c r="R25" s="379">
        <f t="shared" si="9"/>
        <v>6000</v>
      </c>
      <c r="S25" s="383"/>
      <c r="T25" s="383"/>
      <c r="U25" s="384"/>
    </row>
    <row r="26" spans="1:21" ht="16.5" thickBot="1">
      <c r="A26" s="710" t="s">
        <v>40</v>
      </c>
      <c r="B26" s="711"/>
      <c r="C26" s="711"/>
      <c r="D26" s="712"/>
      <c r="E26" s="392"/>
      <c r="F26" s="393"/>
      <c r="G26" s="393"/>
      <c r="H26" s="393"/>
      <c r="I26" s="394"/>
      <c r="J26" s="394"/>
      <c r="K26" s="395">
        <f>SUM(K20:K25)</f>
        <v>2300</v>
      </c>
      <c r="L26" s="396"/>
      <c r="M26" s="394"/>
      <c r="N26" s="394"/>
      <c r="O26" s="394"/>
      <c r="P26" s="394"/>
      <c r="Q26" s="394"/>
      <c r="R26" s="395">
        <f>SUM(R20:R25)</f>
        <v>6000</v>
      </c>
      <c r="S26" s="390"/>
      <c r="T26" s="390"/>
      <c r="U26" s="391"/>
    </row>
    <row r="27" spans="1:21" ht="20.25">
      <c r="A27" s="723" t="str">
        <f>Summary!$A$2</f>
        <v>iz/kkukpk;Z jktdh; vkn'kZ mPp ek/;fed fo|ky; bdygjk ¼ Mhx ½</v>
      </c>
      <c r="B27" s="723"/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</row>
    <row r="28" spans="1:21" ht="20.25">
      <c r="A28" s="724" t="s">
        <v>443</v>
      </c>
      <c r="B28" s="724"/>
      <c r="C28" s="724"/>
      <c r="D28" s="724"/>
      <c r="E28" s="724"/>
      <c r="F28" s="724"/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</row>
    <row r="29" spans="1:21" ht="21" thickBot="1">
      <c r="A29" s="725" t="s">
        <v>459</v>
      </c>
      <c r="B29" s="725"/>
      <c r="C29" s="725"/>
      <c r="D29" s="725"/>
      <c r="E29" s="725"/>
      <c r="F29" s="725"/>
      <c r="G29" s="725"/>
      <c r="H29" s="725"/>
      <c r="I29" s="725"/>
      <c r="J29" s="725"/>
      <c r="K29" s="725"/>
      <c r="L29" s="725"/>
      <c r="M29" s="725"/>
      <c r="N29" s="725"/>
      <c r="O29" s="725"/>
      <c r="P29" s="725"/>
      <c r="Q29" s="725"/>
      <c r="R29" s="725"/>
      <c r="S29" s="725"/>
      <c r="T29" s="725"/>
      <c r="U29" s="725"/>
    </row>
    <row r="30" spans="1:21" ht="20.25" customHeight="1">
      <c r="A30" s="726" t="s">
        <v>445</v>
      </c>
      <c r="B30" s="727" t="s">
        <v>456</v>
      </c>
      <c r="C30" s="727"/>
      <c r="D30" s="727" t="s">
        <v>446</v>
      </c>
      <c r="E30" s="729" t="s">
        <v>661</v>
      </c>
      <c r="F30" s="730"/>
      <c r="G30" s="730"/>
      <c r="H30" s="730"/>
      <c r="I30" s="730"/>
      <c r="J30" s="730"/>
      <c r="K30" s="731"/>
      <c r="L30" s="729" t="s">
        <v>662</v>
      </c>
      <c r="M30" s="730"/>
      <c r="N30" s="730"/>
      <c r="O30" s="730"/>
      <c r="P30" s="730"/>
      <c r="Q30" s="730"/>
      <c r="R30" s="731"/>
      <c r="S30" s="727" t="s">
        <v>447</v>
      </c>
      <c r="T30" s="727"/>
      <c r="U30" s="735"/>
    </row>
    <row r="31" spans="1:21" ht="15.75">
      <c r="A31" s="721"/>
      <c r="B31" s="728"/>
      <c r="C31" s="728"/>
      <c r="D31" s="728"/>
      <c r="E31" s="732"/>
      <c r="F31" s="733"/>
      <c r="G31" s="733"/>
      <c r="H31" s="733"/>
      <c r="I31" s="733"/>
      <c r="J31" s="733"/>
      <c r="K31" s="734"/>
      <c r="L31" s="732"/>
      <c r="M31" s="733"/>
      <c r="N31" s="733"/>
      <c r="O31" s="733"/>
      <c r="P31" s="733"/>
      <c r="Q31" s="733"/>
      <c r="R31" s="734"/>
      <c r="S31" s="398" t="s">
        <v>448</v>
      </c>
      <c r="T31" s="398" t="s">
        <v>45</v>
      </c>
      <c r="U31" s="399" t="s">
        <v>449</v>
      </c>
    </row>
    <row r="32" spans="1:21">
      <c r="A32" s="372">
        <v>1</v>
      </c>
      <c r="B32" s="714">
        <v>2</v>
      </c>
      <c r="C32" s="714"/>
      <c r="D32" s="373">
        <v>3</v>
      </c>
      <c r="E32" s="715">
        <v>4</v>
      </c>
      <c r="F32" s="716"/>
      <c r="G32" s="716"/>
      <c r="H32" s="716"/>
      <c r="I32" s="716"/>
      <c r="J32" s="716"/>
      <c r="K32" s="717"/>
      <c r="L32" s="718">
        <v>5</v>
      </c>
      <c r="M32" s="719"/>
      <c r="N32" s="719"/>
      <c r="O32" s="719"/>
      <c r="P32" s="719"/>
      <c r="Q32" s="719"/>
      <c r="R32" s="720"/>
      <c r="S32" s="373">
        <v>6</v>
      </c>
      <c r="T32" s="373">
        <v>7</v>
      </c>
      <c r="U32" s="374">
        <v>8</v>
      </c>
    </row>
    <row r="33" spans="1:21" ht="15.75">
      <c r="A33" s="721" t="s">
        <v>450</v>
      </c>
      <c r="B33" s="398" t="s">
        <v>455</v>
      </c>
      <c r="C33" s="375">
        <f>Namankan!L12+Namankan!L13+Namankan!L14+Namankan!O12+Namankan!O13+Namankan!O14</f>
        <v>50</v>
      </c>
      <c r="D33" s="376">
        <v>40</v>
      </c>
      <c r="E33" s="377">
        <f t="shared" ref="E33:E38" si="10">C33</f>
        <v>50</v>
      </c>
      <c r="F33" s="378" t="s">
        <v>368</v>
      </c>
      <c r="G33" s="378">
        <f t="shared" ref="G33:G38" si="11">D33</f>
        <v>40</v>
      </c>
      <c r="H33" s="378" t="s">
        <v>368</v>
      </c>
      <c r="I33" s="378">
        <v>10</v>
      </c>
      <c r="J33" s="378" t="s">
        <v>451</v>
      </c>
      <c r="K33" s="397">
        <f t="shared" ref="K33:K38" si="12">E33*G33*I33</f>
        <v>20000</v>
      </c>
      <c r="L33" s="377">
        <f t="shared" ref="L33:L38" si="13">IF(C33&lt;=0,0,(E33+5))</f>
        <v>55</v>
      </c>
      <c r="M33" s="378" t="s">
        <v>368</v>
      </c>
      <c r="N33" s="378">
        <f t="shared" ref="N33:N38" si="14">D33</f>
        <v>40</v>
      </c>
      <c r="O33" s="378" t="s">
        <v>368</v>
      </c>
      <c r="P33" s="378">
        <v>10</v>
      </c>
      <c r="Q33" s="378" t="s">
        <v>451</v>
      </c>
      <c r="R33" s="379">
        <f t="shared" ref="R33:R38" si="15">L33*N33*P33</f>
        <v>22000</v>
      </c>
      <c r="S33" s="380"/>
      <c r="T33" s="380"/>
      <c r="U33" s="381"/>
    </row>
    <row r="34" spans="1:21" ht="15.75">
      <c r="A34" s="721"/>
      <c r="B34" s="398" t="s">
        <v>454</v>
      </c>
      <c r="C34" s="375">
        <f>Namankan!M12+Namankan!M13+Namankan!M14+Namankan!P12+Namankan!P13+Namankan!P14</f>
        <v>39</v>
      </c>
      <c r="D34" s="375">
        <v>40</v>
      </c>
      <c r="E34" s="377">
        <f t="shared" si="10"/>
        <v>39</v>
      </c>
      <c r="F34" s="378" t="s">
        <v>368</v>
      </c>
      <c r="G34" s="378">
        <f t="shared" si="11"/>
        <v>40</v>
      </c>
      <c r="H34" s="378" t="s">
        <v>368</v>
      </c>
      <c r="I34" s="378">
        <v>10</v>
      </c>
      <c r="J34" s="378" t="s">
        <v>451</v>
      </c>
      <c r="K34" s="397">
        <f t="shared" si="12"/>
        <v>15600</v>
      </c>
      <c r="L34" s="377">
        <f t="shared" si="13"/>
        <v>44</v>
      </c>
      <c r="M34" s="378" t="s">
        <v>368</v>
      </c>
      <c r="N34" s="378">
        <f t="shared" si="14"/>
        <v>40</v>
      </c>
      <c r="O34" s="378" t="s">
        <v>368</v>
      </c>
      <c r="P34" s="378">
        <v>10</v>
      </c>
      <c r="Q34" s="378" t="s">
        <v>451</v>
      </c>
      <c r="R34" s="379">
        <f t="shared" si="15"/>
        <v>17600</v>
      </c>
      <c r="S34" s="380"/>
      <c r="T34" s="380"/>
      <c r="U34" s="381"/>
    </row>
    <row r="35" spans="1:21" ht="15.75">
      <c r="A35" s="721" t="s">
        <v>452</v>
      </c>
      <c r="B35" s="398" t="s">
        <v>455</v>
      </c>
      <c r="C35" s="375">
        <f>Namankan!L15+Namankan!L16+Namankan!O15+Namankan!O16</f>
        <v>160</v>
      </c>
      <c r="D35" s="375">
        <v>50</v>
      </c>
      <c r="E35" s="377">
        <f t="shared" si="10"/>
        <v>160</v>
      </c>
      <c r="F35" s="378" t="s">
        <v>368</v>
      </c>
      <c r="G35" s="378">
        <f t="shared" si="11"/>
        <v>50</v>
      </c>
      <c r="H35" s="378" t="s">
        <v>368</v>
      </c>
      <c r="I35" s="378">
        <v>10</v>
      </c>
      <c r="J35" s="378" t="s">
        <v>451</v>
      </c>
      <c r="K35" s="397">
        <f t="shared" si="12"/>
        <v>80000</v>
      </c>
      <c r="L35" s="377">
        <f t="shared" si="13"/>
        <v>165</v>
      </c>
      <c r="M35" s="378" t="s">
        <v>368</v>
      </c>
      <c r="N35" s="378">
        <f t="shared" si="14"/>
        <v>50</v>
      </c>
      <c r="O35" s="378" t="s">
        <v>368</v>
      </c>
      <c r="P35" s="378">
        <v>10</v>
      </c>
      <c r="Q35" s="378" t="s">
        <v>451</v>
      </c>
      <c r="R35" s="379">
        <f t="shared" si="15"/>
        <v>82500</v>
      </c>
      <c r="S35" s="380"/>
      <c r="T35" s="380"/>
      <c r="U35" s="381"/>
    </row>
    <row r="36" spans="1:21" ht="15.75">
      <c r="A36" s="722"/>
      <c r="B36" s="400" t="s">
        <v>454</v>
      </c>
      <c r="C36" s="382">
        <f>Namankan!M15+Namankan!M16+Namankan!P15+Namankan!P16</f>
        <v>119</v>
      </c>
      <c r="D36" s="382">
        <v>50</v>
      </c>
      <c r="E36" s="377">
        <f t="shared" si="10"/>
        <v>119</v>
      </c>
      <c r="F36" s="378" t="s">
        <v>368</v>
      </c>
      <c r="G36" s="378">
        <f t="shared" si="11"/>
        <v>50</v>
      </c>
      <c r="H36" s="378" t="s">
        <v>368</v>
      </c>
      <c r="I36" s="378">
        <v>10</v>
      </c>
      <c r="J36" s="378" t="s">
        <v>451</v>
      </c>
      <c r="K36" s="397">
        <f t="shared" si="12"/>
        <v>59500</v>
      </c>
      <c r="L36" s="377">
        <f t="shared" si="13"/>
        <v>124</v>
      </c>
      <c r="M36" s="378" t="s">
        <v>368</v>
      </c>
      <c r="N36" s="378">
        <f t="shared" si="14"/>
        <v>50</v>
      </c>
      <c r="O36" s="378" t="s">
        <v>368</v>
      </c>
      <c r="P36" s="378">
        <v>10</v>
      </c>
      <c r="Q36" s="378" t="s">
        <v>451</v>
      </c>
      <c r="R36" s="379">
        <f t="shared" si="15"/>
        <v>62000</v>
      </c>
      <c r="S36" s="383"/>
      <c r="T36" s="383"/>
      <c r="U36" s="384"/>
    </row>
    <row r="37" spans="1:21" ht="15.75">
      <c r="A37" s="721" t="s">
        <v>453</v>
      </c>
      <c r="B37" s="398" t="s">
        <v>455</v>
      </c>
      <c r="C37" s="375">
        <f>Namankan!L17+Namankan!L18+Namankan!O17+Namankan!O18</f>
        <v>49</v>
      </c>
      <c r="D37" s="375">
        <v>90</v>
      </c>
      <c r="E37" s="377">
        <f t="shared" si="10"/>
        <v>49</v>
      </c>
      <c r="F37" s="378" t="s">
        <v>368</v>
      </c>
      <c r="G37" s="378">
        <f t="shared" si="11"/>
        <v>90</v>
      </c>
      <c r="H37" s="378" t="s">
        <v>368</v>
      </c>
      <c r="I37" s="378">
        <v>10</v>
      </c>
      <c r="J37" s="378" t="s">
        <v>451</v>
      </c>
      <c r="K37" s="397">
        <f t="shared" si="12"/>
        <v>44100</v>
      </c>
      <c r="L37" s="377">
        <f t="shared" si="13"/>
        <v>54</v>
      </c>
      <c r="M37" s="378" t="s">
        <v>368</v>
      </c>
      <c r="N37" s="378">
        <f t="shared" si="14"/>
        <v>90</v>
      </c>
      <c r="O37" s="378" t="s">
        <v>368</v>
      </c>
      <c r="P37" s="378">
        <v>10</v>
      </c>
      <c r="Q37" s="378" t="s">
        <v>451</v>
      </c>
      <c r="R37" s="379">
        <f t="shared" si="15"/>
        <v>48600</v>
      </c>
      <c r="S37" s="380"/>
      <c r="T37" s="380"/>
      <c r="U37" s="381"/>
    </row>
    <row r="38" spans="1:21" ht="16.5" thickBot="1">
      <c r="A38" s="722"/>
      <c r="B38" s="400" t="s">
        <v>454</v>
      </c>
      <c r="C38" s="382">
        <f>Namankan!M17+Namankan!M18+Namankan!P17+Namankan!P18</f>
        <v>56</v>
      </c>
      <c r="D38" s="382">
        <v>90</v>
      </c>
      <c r="E38" s="377">
        <f t="shared" si="10"/>
        <v>56</v>
      </c>
      <c r="F38" s="378" t="s">
        <v>368</v>
      </c>
      <c r="G38" s="378">
        <f t="shared" si="11"/>
        <v>90</v>
      </c>
      <c r="H38" s="378" t="s">
        <v>368</v>
      </c>
      <c r="I38" s="378">
        <v>10</v>
      </c>
      <c r="J38" s="378" t="s">
        <v>451</v>
      </c>
      <c r="K38" s="397">
        <f t="shared" si="12"/>
        <v>50400</v>
      </c>
      <c r="L38" s="377">
        <f t="shared" si="13"/>
        <v>61</v>
      </c>
      <c r="M38" s="378" t="s">
        <v>368</v>
      </c>
      <c r="N38" s="378">
        <f t="shared" si="14"/>
        <v>90</v>
      </c>
      <c r="O38" s="378" t="s">
        <v>368</v>
      </c>
      <c r="P38" s="378">
        <v>10</v>
      </c>
      <c r="Q38" s="378" t="s">
        <v>451</v>
      </c>
      <c r="R38" s="379">
        <f t="shared" si="15"/>
        <v>54900</v>
      </c>
      <c r="S38" s="383"/>
      <c r="T38" s="383"/>
      <c r="U38" s="384"/>
    </row>
    <row r="39" spans="1:21" ht="16.5" thickBot="1">
      <c r="A39" s="710" t="s">
        <v>40</v>
      </c>
      <c r="B39" s="711"/>
      <c r="C39" s="711"/>
      <c r="D39" s="712"/>
      <c r="E39" s="385"/>
      <c r="F39" s="386"/>
      <c r="G39" s="386"/>
      <c r="H39" s="386"/>
      <c r="I39" s="387"/>
      <c r="J39" s="387"/>
      <c r="K39" s="388">
        <f>SUM(K33:K38)</f>
        <v>269600</v>
      </c>
      <c r="L39" s="389"/>
      <c r="M39" s="387"/>
      <c r="N39" s="387"/>
      <c r="O39" s="387"/>
      <c r="P39" s="387"/>
      <c r="Q39" s="387"/>
      <c r="R39" s="388">
        <f>SUM(R33:R38)</f>
        <v>287600</v>
      </c>
      <c r="S39" s="390"/>
      <c r="T39" s="390"/>
      <c r="U39" s="391"/>
    </row>
    <row r="41" spans="1:21" ht="18.75">
      <c r="R41" s="713" t="str">
        <f>Master!C2</f>
        <v>iz/kkukpk;Z</v>
      </c>
      <c r="S41" s="713"/>
      <c r="T41" s="713"/>
      <c r="U41" s="713"/>
    </row>
    <row r="42" spans="1:21" ht="15" customHeight="1">
      <c r="R42" s="588" t="str">
        <f>Master!D2</f>
        <v>jktdh; vkn'kZ mPp ek/;fed fo|ky; bdygjk ¼ Mhx ½</v>
      </c>
      <c r="S42" s="588"/>
      <c r="T42" s="588"/>
      <c r="U42" s="588"/>
    </row>
    <row r="43" spans="1:21" ht="24" customHeight="1">
      <c r="R43" s="588"/>
      <c r="S43" s="588"/>
      <c r="T43" s="588"/>
      <c r="U43" s="588"/>
    </row>
  </sheetData>
  <mergeCells count="50">
    <mergeCell ref="A11:A12"/>
    <mergeCell ref="A1:U1"/>
    <mergeCell ref="A2:U2"/>
    <mergeCell ref="A3:U3"/>
    <mergeCell ref="A4:A5"/>
    <mergeCell ref="B4:C5"/>
    <mergeCell ref="D4:D5"/>
    <mergeCell ref="E4:K5"/>
    <mergeCell ref="L4:R5"/>
    <mergeCell ref="S4:U4"/>
    <mergeCell ref="B6:C6"/>
    <mergeCell ref="E6:K6"/>
    <mergeCell ref="L6:R6"/>
    <mergeCell ref="A7:A8"/>
    <mergeCell ref="A9:A10"/>
    <mergeCell ref="A24:A25"/>
    <mergeCell ref="A13:D13"/>
    <mergeCell ref="A14:U14"/>
    <mergeCell ref="A15:U15"/>
    <mergeCell ref="A16:U16"/>
    <mergeCell ref="A17:A18"/>
    <mergeCell ref="B17:C18"/>
    <mergeCell ref="D17:D18"/>
    <mergeCell ref="E17:K18"/>
    <mergeCell ref="L17:R18"/>
    <mergeCell ref="S17:U17"/>
    <mergeCell ref="B19:C19"/>
    <mergeCell ref="E19:K19"/>
    <mergeCell ref="L19:R19"/>
    <mergeCell ref="A20:A21"/>
    <mergeCell ref="A22:A23"/>
    <mergeCell ref="A26:D26"/>
    <mergeCell ref="A27:U27"/>
    <mergeCell ref="A28:U28"/>
    <mergeCell ref="A29:U29"/>
    <mergeCell ref="A30:A31"/>
    <mergeCell ref="B30:C31"/>
    <mergeCell ref="D30:D31"/>
    <mergeCell ref="E30:K31"/>
    <mergeCell ref="L30:R31"/>
    <mergeCell ref="S30:U30"/>
    <mergeCell ref="A39:D39"/>
    <mergeCell ref="R41:U41"/>
    <mergeCell ref="R42:U43"/>
    <mergeCell ref="B32:C32"/>
    <mergeCell ref="E32:K32"/>
    <mergeCell ref="L32:R32"/>
    <mergeCell ref="A33:A34"/>
    <mergeCell ref="A35:A36"/>
    <mergeCell ref="A37:A38"/>
  </mergeCells>
  <pageMargins left="0.45" right="0.2" top="0.75" bottom="0.5" header="0.3" footer="0.3"/>
  <pageSetup paperSize="9" scale="8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16"/>
  <sheetViews>
    <sheetView workbookViewId="0">
      <selection activeCell="J7" sqref="J7"/>
    </sheetView>
  </sheetViews>
  <sheetFormatPr defaultRowHeight="15"/>
  <cols>
    <col min="1" max="1" width="6.5703125" style="106" customWidth="1"/>
    <col min="2" max="3" width="19.5703125" style="106" customWidth="1"/>
    <col min="4" max="4" width="14.7109375" style="106" customWidth="1"/>
    <col min="5" max="5" width="15.140625" style="106" customWidth="1"/>
    <col min="6" max="6" width="16.28515625" style="106" customWidth="1"/>
    <col min="7" max="7" width="15.28515625" style="106" customWidth="1"/>
    <col min="8" max="8" width="15" style="101" customWidth="1"/>
    <col min="9" max="16384" width="9.140625" style="101"/>
  </cols>
  <sheetData>
    <row r="1" spans="1:8" ht="15.75">
      <c r="A1" s="324"/>
      <c r="B1" s="324"/>
      <c r="C1" s="324"/>
      <c r="D1" s="324"/>
      <c r="E1" s="324"/>
      <c r="F1" s="684">
        <f>Summary!$C$1</f>
        <v>30695</v>
      </c>
      <c r="G1" s="684"/>
      <c r="H1" s="241"/>
    </row>
    <row r="2" spans="1:8" ht="20.25">
      <c r="A2" s="738" t="str">
        <f>Summary!$A$2</f>
        <v>iz/kkukpk;Z jktdh; vkn'kZ mPp ek/;fed fo|ky; bdygjk ¼ Mhx ½</v>
      </c>
      <c r="B2" s="738"/>
      <c r="C2" s="738"/>
      <c r="D2" s="738"/>
      <c r="E2" s="738"/>
      <c r="F2" s="738"/>
      <c r="G2" s="738"/>
      <c r="H2" s="241"/>
    </row>
    <row r="3" spans="1:8" ht="20.25">
      <c r="A3" s="738" t="s">
        <v>474</v>
      </c>
      <c r="B3" s="738"/>
      <c r="C3" s="738"/>
      <c r="D3" s="738"/>
      <c r="E3" s="738"/>
      <c r="F3" s="738"/>
      <c r="G3" s="738"/>
      <c r="H3" s="241"/>
    </row>
    <row r="4" spans="1:8" ht="16.5" customHeight="1">
      <c r="A4" s="670" t="s">
        <v>475</v>
      </c>
      <c r="B4" s="670"/>
      <c r="C4" s="670"/>
      <c r="D4" s="670"/>
      <c r="E4" s="670"/>
      <c r="F4" s="670"/>
      <c r="G4" s="670"/>
      <c r="H4" s="241"/>
    </row>
    <row r="5" spans="1:8" ht="37.5">
      <c r="A5" s="346" t="s">
        <v>382</v>
      </c>
      <c r="B5" s="346" t="s">
        <v>50</v>
      </c>
      <c r="C5" s="346" t="s">
        <v>90</v>
      </c>
      <c r="D5" s="346" t="s">
        <v>476</v>
      </c>
      <c r="E5" s="346" t="s">
        <v>477</v>
      </c>
      <c r="F5" s="346" t="s">
        <v>478</v>
      </c>
      <c r="G5" s="346" t="s">
        <v>479</v>
      </c>
      <c r="H5" s="417">
        <f>'Formet 8'!F74</f>
        <v>0.12</v>
      </c>
    </row>
    <row r="6" spans="1:8" ht="15.75">
      <c r="A6" s="343">
        <v>1</v>
      </c>
      <c r="B6" s="343">
        <v>2</v>
      </c>
      <c r="C6" s="343">
        <v>3</v>
      </c>
      <c r="D6" s="343">
        <v>4</v>
      </c>
      <c r="E6" s="343">
        <v>5</v>
      </c>
      <c r="F6" s="343">
        <v>6</v>
      </c>
      <c r="G6" s="343">
        <v>7</v>
      </c>
      <c r="H6" s="418"/>
    </row>
    <row r="7" spans="1:8" ht="64.5" customHeight="1">
      <c r="A7" s="419">
        <v>1</v>
      </c>
      <c r="B7" s="420" t="s">
        <v>480</v>
      </c>
      <c r="C7" s="420" t="s">
        <v>480</v>
      </c>
      <c r="D7" s="421" t="s">
        <v>436</v>
      </c>
      <c r="E7" s="422">
        <v>0</v>
      </c>
      <c r="F7" s="423">
        <v>0</v>
      </c>
      <c r="G7" s="423">
        <f>ROUND(E7/30*F7,0)+ROUND(E7/30*H7,0)</f>
        <v>0</v>
      </c>
      <c r="H7" s="424">
        <f>ROUND(F7*H5,0)</f>
        <v>0</v>
      </c>
    </row>
    <row r="8" spans="1:8">
      <c r="A8" s="324"/>
      <c r="B8" s="324"/>
      <c r="C8" s="324"/>
      <c r="D8" s="324"/>
      <c r="E8" s="324"/>
      <c r="F8" s="324"/>
      <c r="G8" s="324"/>
      <c r="H8" s="241"/>
    </row>
    <row r="9" spans="1:8">
      <c r="A9" s="324"/>
      <c r="B9" s="324"/>
      <c r="C9" s="324"/>
      <c r="D9" s="324"/>
      <c r="E9" s="324"/>
      <c r="F9" s="324"/>
      <c r="G9" s="324"/>
      <c r="H9" s="241"/>
    </row>
    <row r="10" spans="1:8" ht="18.75">
      <c r="A10" s="324"/>
      <c r="B10" s="324"/>
      <c r="C10" s="324"/>
      <c r="D10" s="324"/>
      <c r="E10" s="324"/>
      <c r="F10" s="587" t="str">
        <f>Master!C2</f>
        <v>iz/kkukpk;Z</v>
      </c>
      <c r="G10" s="587"/>
      <c r="H10" s="340"/>
    </row>
    <row r="11" spans="1:8" ht="15" customHeight="1">
      <c r="A11" s="324"/>
      <c r="B11" s="324"/>
      <c r="C11" s="324"/>
      <c r="D11" s="324"/>
      <c r="E11" s="425"/>
      <c r="F11" s="588" t="str">
        <f>Master!D2</f>
        <v>jktdh; vkn'kZ mPp ek/;fed fo|ky; bdygjk ¼ Mhx ½</v>
      </c>
      <c r="G11" s="588"/>
      <c r="H11" s="341"/>
    </row>
    <row r="12" spans="1:8" ht="15" customHeight="1">
      <c r="A12" s="324"/>
      <c r="B12" s="324"/>
      <c r="C12" s="324"/>
      <c r="D12" s="324"/>
      <c r="E12" s="341"/>
      <c r="F12" s="588"/>
      <c r="G12" s="588"/>
      <c r="H12" s="341"/>
    </row>
    <row r="13" spans="1:8" ht="15" customHeight="1">
      <c r="A13" s="324"/>
      <c r="B13" s="324"/>
      <c r="C13" s="324"/>
      <c r="D13" s="324"/>
      <c r="E13" s="341"/>
      <c r="F13" s="588"/>
      <c r="G13" s="588"/>
      <c r="H13" s="341"/>
    </row>
    <row r="14" spans="1:8" ht="15" customHeight="1">
      <c r="A14" s="425"/>
      <c r="B14" s="425"/>
      <c r="C14" s="425"/>
      <c r="D14" s="425"/>
      <c r="E14" s="425"/>
      <c r="F14" s="341"/>
      <c r="G14" s="341"/>
      <c r="H14" s="341"/>
    </row>
    <row r="15" spans="1:8">
      <c r="A15" s="425"/>
      <c r="B15" s="425"/>
      <c r="C15" s="425"/>
      <c r="D15" s="425"/>
      <c r="E15" s="425"/>
      <c r="F15" s="425"/>
      <c r="G15" s="425"/>
      <c r="H15" s="241"/>
    </row>
    <row r="16" spans="1:8">
      <c r="A16" s="425"/>
      <c r="B16" s="425"/>
      <c r="C16" s="425"/>
      <c r="D16" s="425"/>
      <c r="E16" s="425"/>
      <c r="F16" s="425"/>
      <c r="G16" s="425"/>
      <c r="H16" s="241"/>
    </row>
  </sheetData>
  <mergeCells count="6">
    <mergeCell ref="F1:G1"/>
    <mergeCell ref="A2:G2"/>
    <mergeCell ref="A3:G3"/>
    <mergeCell ref="F10:G10"/>
    <mergeCell ref="F11:G13"/>
    <mergeCell ref="A4:G4"/>
  </mergeCells>
  <pageMargins left="1.2" right="0.7" top="0.75" bottom="0.75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70"/>
  <sheetViews>
    <sheetView workbookViewId="0">
      <selection activeCell="H68" sqref="H68"/>
    </sheetView>
  </sheetViews>
  <sheetFormatPr defaultRowHeight="15"/>
  <cols>
    <col min="1" max="1" width="6.42578125" style="401" customWidth="1"/>
    <col min="2" max="2" width="18" style="401" bestFit="1" customWidth="1"/>
    <col min="3" max="3" width="17.42578125" style="401" customWidth="1"/>
    <col min="4" max="4" width="6.28515625" style="401" customWidth="1"/>
    <col min="5" max="5" width="11.7109375" style="401" customWidth="1"/>
    <col min="6" max="6" width="13.85546875" style="401" customWidth="1"/>
    <col min="7" max="7" width="14.7109375" style="401" customWidth="1"/>
    <col min="8" max="16384" width="9.140625" style="401"/>
  </cols>
  <sheetData>
    <row r="1" spans="1:7" ht="20.25">
      <c r="A1" s="723" t="str">
        <f>Summary!$A$2</f>
        <v>iz/kkukpk;Z jktdh; vkn'kZ mPp ek/;fed fo|ky; bdygjk ¼ Mhx ½</v>
      </c>
      <c r="B1" s="723"/>
      <c r="C1" s="723"/>
      <c r="D1" s="723"/>
      <c r="E1" s="723"/>
      <c r="F1" s="723"/>
      <c r="G1" s="723"/>
    </row>
    <row r="2" spans="1:7" ht="20.25">
      <c r="A2" s="739" t="s">
        <v>380</v>
      </c>
      <c r="B2" s="739"/>
      <c r="C2" s="739"/>
      <c r="D2" s="739"/>
      <c r="E2" s="739"/>
      <c r="F2" s="739"/>
      <c r="G2" s="739"/>
    </row>
    <row r="3" spans="1:7" ht="20.25">
      <c r="A3" s="740" t="s">
        <v>460</v>
      </c>
      <c r="B3" s="740"/>
      <c r="C3" s="740"/>
      <c r="D3" s="740"/>
      <c r="E3" s="740"/>
      <c r="F3" s="740"/>
      <c r="G3" s="740"/>
    </row>
    <row r="4" spans="1:7">
      <c r="A4" s="741" t="str">
        <f>'Formet 9'!A7</f>
        <v>BUDGET HEAD : 2202-GENERAL EDUCATION, 02-SECONDARY EDUCATION, 109-GOVT. SEC. SCHOOL, (01)-BOYS SCHOOL (STATE FUND)</v>
      </c>
      <c r="B4" s="741"/>
      <c r="C4" s="741"/>
      <c r="D4" s="741"/>
      <c r="E4" s="741"/>
      <c r="F4" s="741"/>
      <c r="G4" s="741"/>
    </row>
    <row r="5" spans="1:7" s="402" customFormat="1" ht="31.5">
      <c r="A5" s="398" t="s">
        <v>8</v>
      </c>
      <c r="B5" s="398" t="s">
        <v>461</v>
      </c>
      <c r="C5" s="398" t="s">
        <v>462</v>
      </c>
      <c r="D5" s="398" t="s">
        <v>463</v>
      </c>
      <c r="E5" s="398" t="s">
        <v>464</v>
      </c>
      <c r="F5" s="342" t="s">
        <v>465</v>
      </c>
      <c r="G5" s="342" t="s">
        <v>114</v>
      </c>
    </row>
    <row r="6" spans="1:7">
      <c r="A6" s="403" t="s">
        <v>466</v>
      </c>
      <c r="B6" s="404" t="s">
        <v>467</v>
      </c>
      <c r="C6" s="404" t="s">
        <v>468</v>
      </c>
      <c r="D6" s="404" t="s">
        <v>469</v>
      </c>
      <c r="E6" s="404" t="s">
        <v>470</v>
      </c>
      <c r="F6" s="342" t="s">
        <v>471</v>
      </c>
      <c r="G6" s="342" t="s">
        <v>472</v>
      </c>
    </row>
    <row r="7" spans="1:7" ht="18.75">
      <c r="A7" s="405">
        <f>IF(Table3[[#This Row],[4]]&gt;0,1,0)</f>
        <v>1</v>
      </c>
      <c r="B7" s="406" t="str">
        <f>'Formet 8'!C12</f>
        <v>feJhyky</v>
      </c>
      <c r="C7" s="407" t="str">
        <f>'Formet 8'!F12</f>
        <v>PRINCIPAL</v>
      </c>
      <c r="D7" s="408">
        <f>'Formet 8'!I12</f>
        <v>1117200</v>
      </c>
      <c r="E7" s="409">
        <f>IF(AND(D7=""),"",'Formet 8'!D75)</f>
        <v>0.03</v>
      </c>
      <c r="F7" s="410">
        <f t="shared" ref="F7:F38" si="0">IF(AND(D7=""),"",ROUND((D7*E7)*2,0))</f>
        <v>67032</v>
      </c>
      <c r="G7" s="411">
        <v>0</v>
      </c>
    </row>
    <row r="8" spans="1:7" ht="18.75">
      <c r="A8" s="405">
        <f>IF(Table3[[#This Row],[4]]&gt;0,1,0)+A7</f>
        <v>2</v>
      </c>
      <c r="B8" s="406" t="str">
        <f>'Formet 8'!C13</f>
        <v>lkaojey ;kno</v>
      </c>
      <c r="C8" s="407" t="str">
        <f>'Formet 8'!F13</f>
        <v>TEACHER-I</v>
      </c>
      <c r="D8" s="408">
        <f>'Formet 8'!I13</f>
        <v>547200</v>
      </c>
      <c r="E8" s="409">
        <f>IF(AND(D8=""),"",E7)</f>
        <v>0.03</v>
      </c>
      <c r="F8" s="410">
        <f t="shared" si="0"/>
        <v>32832</v>
      </c>
      <c r="G8" s="411">
        <v>0</v>
      </c>
    </row>
    <row r="9" spans="1:7" ht="18.75">
      <c r="A9" s="405">
        <f>IF(Table3[[#This Row],[4]]&gt;0,1,0)+A8</f>
        <v>3</v>
      </c>
      <c r="B9" s="406" t="str">
        <f>'Formet 8'!C14</f>
        <v>dY;k.kfalg</v>
      </c>
      <c r="C9" s="407" t="str">
        <f>'Formet 8'!F14</f>
        <v>TEACHER-I</v>
      </c>
      <c r="D9" s="408">
        <f>'Formet 8'!I14</f>
        <v>558000</v>
      </c>
      <c r="E9" s="409">
        <f t="shared" ref="E9:E65" si="1">E8</f>
        <v>0.03</v>
      </c>
      <c r="F9" s="410">
        <f t="shared" si="0"/>
        <v>33480</v>
      </c>
      <c r="G9" s="411">
        <v>0</v>
      </c>
    </row>
    <row r="10" spans="1:7" ht="18.75">
      <c r="A10" s="405">
        <f>IF(Table3[[#This Row],[4]]&gt;0,1,0)+A9</f>
        <v>4</v>
      </c>
      <c r="B10" s="406" t="str">
        <f>'Formet 8'!C15</f>
        <v>Hkxokuflag</v>
      </c>
      <c r="C10" s="407" t="str">
        <f>'Formet 8'!F15</f>
        <v>TEACHER-I</v>
      </c>
      <c r="D10" s="408">
        <f>'Formet 8'!I15</f>
        <v>831600</v>
      </c>
      <c r="E10" s="409">
        <f t="shared" si="1"/>
        <v>0.03</v>
      </c>
      <c r="F10" s="410">
        <f t="shared" si="0"/>
        <v>49896</v>
      </c>
      <c r="G10" s="411">
        <v>0</v>
      </c>
    </row>
    <row r="11" spans="1:7" ht="18.75">
      <c r="A11" s="405">
        <f>IF(Table3[[#This Row],[4]]&gt;0,1,0)+A10</f>
        <v>5</v>
      </c>
      <c r="B11" s="406" t="str">
        <f>'Formet 8'!C16</f>
        <v/>
      </c>
      <c r="C11" s="407" t="str">
        <f>'Formet 8'!F16</f>
        <v/>
      </c>
      <c r="D11" s="408" t="str">
        <f>'Formet 8'!I16</f>
        <v/>
      </c>
      <c r="E11" s="409">
        <f t="shared" si="1"/>
        <v>0.03</v>
      </c>
      <c r="F11" s="410" t="str">
        <f t="shared" si="0"/>
        <v/>
      </c>
      <c r="G11" s="411">
        <v>0</v>
      </c>
    </row>
    <row r="12" spans="1:7" ht="18.75">
      <c r="A12" s="405">
        <f>IF(Table3[[#This Row],[4]]&gt;0,1,0)+A11</f>
        <v>6</v>
      </c>
      <c r="B12" s="406" t="str">
        <f>'Formet 8'!C17</f>
        <v/>
      </c>
      <c r="C12" s="407" t="str">
        <f>'Formet 8'!F17</f>
        <v/>
      </c>
      <c r="D12" s="408" t="str">
        <f>'Formet 8'!I17</f>
        <v/>
      </c>
      <c r="E12" s="409">
        <f t="shared" si="1"/>
        <v>0.03</v>
      </c>
      <c r="F12" s="410" t="str">
        <f t="shared" si="0"/>
        <v/>
      </c>
      <c r="G12" s="411">
        <v>0</v>
      </c>
    </row>
    <row r="13" spans="1:7" ht="18.75">
      <c r="A13" s="405">
        <f>IF(Table3[[#This Row],[4]]&gt;0,1,0)+A12</f>
        <v>7</v>
      </c>
      <c r="B13" s="406" t="str">
        <f>'Formet 8'!C18</f>
        <v/>
      </c>
      <c r="C13" s="407" t="str">
        <f>'Formet 8'!F18</f>
        <v/>
      </c>
      <c r="D13" s="408" t="str">
        <f>'Formet 8'!I18</f>
        <v/>
      </c>
      <c r="E13" s="409">
        <f t="shared" si="1"/>
        <v>0.03</v>
      </c>
      <c r="F13" s="410" t="str">
        <f t="shared" si="0"/>
        <v/>
      </c>
      <c r="G13" s="411">
        <v>0</v>
      </c>
    </row>
    <row r="14" spans="1:7" ht="18.75">
      <c r="A14" s="405">
        <f>IF(Table3[[#This Row],[4]]&gt;0,1,0)+A13</f>
        <v>8</v>
      </c>
      <c r="B14" s="406" t="str">
        <f>'Formet 8'!C19</f>
        <v/>
      </c>
      <c r="C14" s="407" t="str">
        <f>'Formet 8'!F19</f>
        <v/>
      </c>
      <c r="D14" s="408" t="str">
        <f>'Formet 8'!I19</f>
        <v/>
      </c>
      <c r="E14" s="409">
        <f t="shared" si="1"/>
        <v>0.03</v>
      </c>
      <c r="F14" s="410" t="str">
        <f t="shared" si="0"/>
        <v/>
      </c>
      <c r="G14" s="411">
        <v>0</v>
      </c>
    </row>
    <row r="15" spans="1:7" ht="18.75">
      <c r="A15" s="405">
        <f>IF(Table3[[#This Row],[4]]&gt;0,1,0)+A14</f>
        <v>9</v>
      </c>
      <c r="B15" s="406" t="str">
        <f>'Formet 8'!C20</f>
        <v/>
      </c>
      <c r="C15" s="407" t="str">
        <f>'Formet 8'!F20</f>
        <v/>
      </c>
      <c r="D15" s="408" t="str">
        <f>'Formet 8'!I20</f>
        <v/>
      </c>
      <c r="E15" s="409">
        <f t="shared" si="1"/>
        <v>0.03</v>
      </c>
      <c r="F15" s="410" t="str">
        <f t="shared" si="0"/>
        <v/>
      </c>
      <c r="G15" s="411">
        <v>0</v>
      </c>
    </row>
    <row r="16" spans="1:7" ht="18.75">
      <c r="A16" s="405">
        <f>IF(Table3[[#This Row],[4]]&gt;0,1,0)+A15</f>
        <v>10</v>
      </c>
      <c r="B16" s="406" t="str">
        <f>'Formet 8'!C21</f>
        <v/>
      </c>
      <c r="C16" s="407" t="str">
        <f>'Formet 8'!F21</f>
        <v/>
      </c>
      <c r="D16" s="408" t="str">
        <f>'Formet 8'!I21</f>
        <v/>
      </c>
      <c r="E16" s="409">
        <f t="shared" si="1"/>
        <v>0.03</v>
      </c>
      <c r="F16" s="410" t="str">
        <f t="shared" si="0"/>
        <v/>
      </c>
      <c r="G16" s="411">
        <v>0</v>
      </c>
    </row>
    <row r="17" spans="1:7" ht="18.75">
      <c r="A17" s="405">
        <f>IF(Table3[[#This Row],[4]]&gt;0,1,0)+A16</f>
        <v>11</v>
      </c>
      <c r="B17" s="406" t="str">
        <f>'Formet 8'!C22</f>
        <v/>
      </c>
      <c r="C17" s="407" t="str">
        <f>'Formet 8'!F22</f>
        <v/>
      </c>
      <c r="D17" s="408" t="str">
        <f>'Formet 8'!I22</f>
        <v/>
      </c>
      <c r="E17" s="409">
        <f t="shared" si="1"/>
        <v>0.03</v>
      </c>
      <c r="F17" s="410" t="str">
        <f t="shared" si="0"/>
        <v/>
      </c>
      <c r="G17" s="411">
        <v>0</v>
      </c>
    </row>
    <row r="18" spans="1:7" ht="18.75">
      <c r="A18" s="405">
        <f>IF(Table3[[#This Row],[4]]&gt;0,1,0)+A17</f>
        <v>12</v>
      </c>
      <c r="B18" s="406" t="str">
        <f>'Formet 8'!C23</f>
        <v/>
      </c>
      <c r="C18" s="407" t="str">
        <f>'Formet 8'!F23</f>
        <v/>
      </c>
      <c r="D18" s="408" t="str">
        <f>'Formet 8'!I23</f>
        <v/>
      </c>
      <c r="E18" s="409">
        <f t="shared" si="1"/>
        <v>0.03</v>
      </c>
      <c r="F18" s="410" t="str">
        <f t="shared" si="0"/>
        <v/>
      </c>
      <c r="G18" s="411">
        <v>0</v>
      </c>
    </row>
    <row r="19" spans="1:7" ht="18.75">
      <c r="A19" s="405">
        <f>IF(Table3[[#This Row],[4]]&gt;0,1,0)+A18</f>
        <v>13</v>
      </c>
      <c r="B19" s="406" t="str">
        <f>'Formet 8'!C24</f>
        <v/>
      </c>
      <c r="C19" s="407" t="str">
        <f>'Formet 8'!F24</f>
        <v/>
      </c>
      <c r="D19" s="408" t="str">
        <f>'Formet 8'!I24</f>
        <v/>
      </c>
      <c r="E19" s="409">
        <f t="shared" si="1"/>
        <v>0.03</v>
      </c>
      <c r="F19" s="410" t="str">
        <f t="shared" si="0"/>
        <v/>
      </c>
      <c r="G19" s="411">
        <v>0</v>
      </c>
    </row>
    <row r="20" spans="1:7" ht="18.75">
      <c r="A20" s="405">
        <f>IF(Table3[[#This Row],[4]]&gt;0,1,0)+A19</f>
        <v>14</v>
      </c>
      <c r="B20" s="406" t="str">
        <f>'Formet 8'!C25</f>
        <v/>
      </c>
      <c r="C20" s="407" t="str">
        <f>'Formet 8'!F25</f>
        <v/>
      </c>
      <c r="D20" s="408" t="str">
        <f>'Formet 8'!I25</f>
        <v/>
      </c>
      <c r="E20" s="409">
        <f t="shared" si="1"/>
        <v>0.03</v>
      </c>
      <c r="F20" s="410" t="str">
        <f t="shared" si="0"/>
        <v/>
      </c>
      <c r="G20" s="411">
        <v>0</v>
      </c>
    </row>
    <row r="21" spans="1:7" ht="18.75">
      <c r="A21" s="405">
        <f>IF(Table3[[#This Row],[4]]&gt;0,1,0)+A20</f>
        <v>14</v>
      </c>
      <c r="B21" s="406"/>
      <c r="C21" s="407"/>
      <c r="D21" s="408"/>
      <c r="E21" s="409">
        <f t="shared" si="1"/>
        <v>0.03</v>
      </c>
      <c r="F21" s="410" t="str">
        <f t="shared" si="0"/>
        <v/>
      </c>
      <c r="G21" s="411">
        <v>0</v>
      </c>
    </row>
    <row r="22" spans="1:7" ht="18.75">
      <c r="A22" s="405">
        <f>IF(Table3[[#This Row],[4]]&gt;0,1,0)+A21</f>
        <v>15</v>
      </c>
      <c r="B22" s="406" t="str">
        <f>'Formet 8'!C27</f>
        <v>ghjkyky tkV</v>
      </c>
      <c r="C22" s="407" t="str">
        <f>'Formet 8'!F27</f>
        <v>TEACHER-I</v>
      </c>
      <c r="D22" s="408">
        <f>'Formet 8'!I27</f>
        <v>594000</v>
      </c>
      <c r="E22" s="409">
        <f t="shared" si="1"/>
        <v>0.03</v>
      </c>
      <c r="F22" s="410">
        <f t="shared" si="0"/>
        <v>35640</v>
      </c>
      <c r="G22" s="411">
        <v>0</v>
      </c>
    </row>
    <row r="23" spans="1:7" ht="18.75">
      <c r="A23" s="405">
        <f>IF(Table3[[#This Row],[4]]&gt;0,1,0)+A22</f>
        <v>16</v>
      </c>
      <c r="B23" s="406" t="str">
        <f>'Formet 8'!C28</f>
        <v>egsUnz iVsy</v>
      </c>
      <c r="C23" s="407" t="str">
        <f>'Formet 8'!F28</f>
        <v>TEACHER-II</v>
      </c>
      <c r="D23" s="408">
        <f>'Formet 8'!I28</f>
        <v>495600</v>
      </c>
      <c r="E23" s="409">
        <f t="shared" si="1"/>
        <v>0.03</v>
      </c>
      <c r="F23" s="410">
        <f t="shared" si="0"/>
        <v>29736</v>
      </c>
      <c r="G23" s="411">
        <v>0</v>
      </c>
    </row>
    <row r="24" spans="1:7" ht="18.75">
      <c r="A24" s="405">
        <f>IF(Table3[[#This Row],[4]]&gt;0,1,0)+A23</f>
        <v>17</v>
      </c>
      <c r="B24" s="406" t="str">
        <f>'Formet 8'!C29</f>
        <v>ekaxhyky jkaxh</v>
      </c>
      <c r="C24" s="407" t="str">
        <f>'Formet 8'!F29</f>
        <v>TEACHER-II</v>
      </c>
      <c r="D24" s="408">
        <f>'Formet 8'!I29</f>
        <v>715200</v>
      </c>
      <c r="E24" s="409">
        <f t="shared" si="1"/>
        <v>0.03</v>
      </c>
      <c r="F24" s="410">
        <f t="shared" si="0"/>
        <v>42912</v>
      </c>
      <c r="G24" s="411">
        <v>0</v>
      </c>
    </row>
    <row r="25" spans="1:7" ht="18.75">
      <c r="A25" s="405">
        <f>IF(Table3[[#This Row],[4]]&gt;0,1,0)+A24</f>
        <v>18</v>
      </c>
      <c r="B25" s="406" t="str">
        <f>'Formet 8'!C30</f>
        <v>lqjs'k dqekj vknjk</v>
      </c>
      <c r="C25" s="407" t="str">
        <f>'Formet 8'!F30</f>
        <v>TEACHER-III</v>
      </c>
      <c r="D25" s="408">
        <f>'Formet 8'!I30</f>
        <v>609600</v>
      </c>
      <c r="E25" s="409">
        <f t="shared" si="1"/>
        <v>0.03</v>
      </c>
      <c r="F25" s="410">
        <f t="shared" si="0"/>
        <v>36576</v>
      </c>
      <c r="G25" s="411">
        <v>0</v>
      </c>
    </row>
    <row r="26" spans="1:7" ht="18.75">
      <c r="A26" s="405">
        <f>IF(Table3[[#This Row],[4]]&gt;0,1,0)+A25</f>
        <v>19</v>
      </c>
      <c r="B26" s="406" t="str">
        <f>'Formet 8'!C31</f>
        <v>vtquflag</v>
      </c>
      <c r="C26" s="407" t="str">
        <f>'Formet 8'!F31</f>
        <v>TEACHER-III</v>
      </c>
      <c r="D26" s="408">
        <f>'Formet 8'!I31</f>
        <v>547200</v>
      </c>
      <c r="E26" s="409">
        <f t="shared" si="1"/>
        <v>0.03</v>
      </c>
      <c r="F26" s="410">
        <f t="shared" si="0"/>
        <v>32832</v>
      </c>
      <c r="G26" s="411">
        <v>0</v>
      </c>
    </row>
    <row r="27" spans="1:7" ht="18.75">
      <c r="A27" s="405">
        <f>IF(Table3[[#This Row],[4]]&gt;0,1,0)+A26</f>
        <v>20</v>
      </c>
      <c r="B27" s="406" t="str">
        <f>'Formet 8'!C32</f>
        <v>Hkykjke</v>
      </c>
      <c r="C27" s="407" t="str">
        <f>'Formet 8'!F32</f>
        <v>TEACHER-III</v>
      </c>
      <c r="D27" s="408">
        <f>'Formet 8'!I32</f>
        <v>831600</v>
      </c>
      <c r="E27" s="409">
        <f t="shared" si="1"/>
        <v>0.03</v>
      </c>
      <c r="F27" s="410">
        <f t="shared" si="0"/>
        <v>49896</v>
      </c>
      <c r="G27" s="411">
        <v>0</v>
      </c>
    </row>
    <row r="28" spans="1:7" ht="18.75">
      <c r="A28" s="405">
        <f>IF(Table3[[#This Row],[4]]&gt;0,1,0)+A27</f>
        <v>21</v>
      </c>
      <c r="B28" s="406" t="str">
        <f>'Formet 8'!C33</f>
        <v>yfyrdqekj</v>
      </c>
      <c r="C28" s="407" t="str">
        <f>'Formet 8'!F33</f>
        <v>TEACHER-III</v>
      </c>
      <c r="D28" s="408">
        <f>'Formet 8'!I33</f>
        <v>262800</v>
      </c>
      <c r="E28" s="409">
        <f t="shared" si="1"/>
        <v>0.03</v>
      </c>
      <c r="F28" s="410">
        <f t="shared" si="0"/>
        <v>15768</v>
      </c>
      <c r="G28" s="411">
        <v>0</v>
      </c>
    </row>
    <row r="29" spans="1:7" ht="18.75">
      <c r="A29" s="405">
        <f>IF(Table3[[#This Row],[4]]&gt;0,1,0)+A28</f>
        <v>22</v>
      </c>
      <c r="B29" s="406" t="str">
        <f>'Formet 8'!C34</f>
        <v>eunhiflag</v>
      </c>
      <c r="C29" s="407" t="str">
        <f>'Formet 8'!F34</f>
        <v>PTI  III</v>
      </c>
      <c r="D29" s="408">
        <f>'Formet 8'!I34</f>
        <v>415200</v>
      </c>
      <c r="E29" s="409">
        <f t="shared" si="1"/>
        <v>0.03</v>
      </c>
      <c r="F29" s="410">
        <f t="shared" si="0"/>
        <v>24912</v>
      </c>
      <c r="G29" s="411">
        <v>0</v>
      </c>
    </row>
    <row r="30" spans="1:7" ht="18.75">
      <c r="A30" s="405">
        <f>IF(Table3[[#This Row],[4]]&gt;0,1,0)+A29</f>
        <v>23</v>
      </c>
      <c r="B30" s="406" t="str">
        <f>'Formet 8'!C35</f>
        <v>vt;dqekj</v>
      </c>
      <c r="C30" s="407" t="str">
        <f>'Formet 8'!F35</f>
        <v>PEON</v>
      </c>
      <c r="D30" s="408">
        <f>'Formet 8'!I35</f>
        <v>367200</v>
      </c>
      <c r="E30" s="409">
        <f t="shared" si="1"/>
        <v>0.03</v>
      </c>
      <c r="F30" s="410">
        <f t="shared" si="0"/>
        <v>22032</v>
      </c>
      <c r="G30" s="411">
        <v>0</v>
      </c>
    </row>
    <row r="31" spans="1:7" ht="18.75">
      <c r="A31" s="405">
        <f>IF(Table3[[#This Row],[4]]&gt;0,1,0)+A30</f>
        <v>23</v>
      </c>
      <c r="B31" s="406" t="str">
        <f>'Formet 8'!C36</f>
        <v>in fjDr</v>
      </c>
      <c r="C31" s="407" t="str">
        <f>'Formet 8'!F36</f>
        <v>CLERK GRADE II</v>
      </c>
      <c r="D31" s="408">
        <f>'Formet 8'!I36</f>
        <v>0</v>
      </c>
      <c r="E31" s="409">
        <f t="shared" si="1"/>
        <v>0.03</v>
      </c>
      <c r="F31" s="410">
        <f t="shared" si="0"/>
        <v>0</v>
      </c>
      <c r="G31" s="411">
        <v>0</v>
      </c>
    </row>
    <row r="32" spans="1:7" ht="18.75">
      <c r="A32" s="405">
        <f>IF(Table3[[#This Row],[4]]&gt;0,1,0)+A31</f>
        <v>24</v>
      </c>
      <c r="B32" s="406" t="str">
        <f>'Formet 8'!C37</f>
        <v/>
      </c>
      <c r="C32" s="407" t="str">
        <f>'Formet 8'!F37</f>
        <v/>
      </c>
      <c r="D32" s="408" t="str">
        <f>'Formet 8'!I37</f>
        <v/>
      </c>
      <c r="E32" s="409">
        <f t="shared" si="1"/>
        <v>0.03</v>
      </c>
      <c r="F32" s="410" t="str">
        <f t="shared" si="0"/>
        <v/>
      </c>
      <c r="G32" s="411">
        <v>0</v>
      </c>
    </row>
    <row r="33" spans="1:7" ht="18.75">
      <c r="A33" s="405">
        <f>IF(Table3[[#This Row],[4]]&gt;0,1,0)+A32</f>
        <v>25</v>
      </c>
      <c r="B33" s="406" t="str">
        <f>'Formet 8'!C38</f>
        <v/>
      </c>
      <c r="C33" s="407" t="str">
        <f>'Formet 8'!F38</f>
        <v/>
      </c>
      <c r="D33" s="408" t="str">
        <f>'Formet 8'!I38</f>
        <v/>
      </c>
      <c r="E33" s="409">
        <f t="shared" si="1"/>
        <v>0.03</v>
      </c>
      <c r="F33" s="410" t="str">
        <f t="shared" si="0"/>
        <v/>
      </c>
      <c r="G33" s="411">
        <v>0</v>
      </c>
    </row>
    <row r="34" spans="1:7" ht="18.75">
      <c r="A34" s="405">
        <f>IF(Table3[[#This Row],[4]]&gt;0,1,0)+A33</f>
        <v>26</v>
      </c>
      <c r="B34" s="406" t="str">
        <f>'Formet 8'!C39</f>
        <v/>
      </c>
      <c r="C34" s="407" t="str">
        <f>'Formet 8'!F39</f>
        <v/>
      </c>
      <c r="D34" s="408" t="str">
        <f>'Formet 8'!I39</f>
        <v/>
      </c>
      <c r="E34" s="409">
        <f t="shared" si="1"/>
        <v>0.03</v>
      </c>
      <c r="F34" s="410" t="str">
        <f t="shared" si="0"/>
        <v/>
      </c>
      <c r="G34" s="411">
        <v>0</v>
      </c>
    </row>
    <row r="35" spans="1:7" ht="18.75">
      <c r="A35" s="405">
        <f>IF(Table3[[#This Row],[4]]&gt;0,1,0)+A34</f>
        <v>27</v>
      </c>
      <c r="B35" s="406" t="str">
        <f>'Formet 8'!C40</f>
        <v/>
      </c>
      <c r="C35" s="407" t="str">
        <f>'Formet 8'!F40</f>
        <v/>
      </c>
      <c r="D35" s="408" t="str">
        <f>'Formet 8'!I40</f>
        <v/>
      </c>
      <c r="E35" s="409">
        <f t="shared" si="1"/>
        <v>0.03</v>
      </c>
      <c r="F35" s="410" t="str">
        <f t="shared" si="0"/>
        <v/>
      </c>
      <c r="G35" s="411">
        <v>0</v>
      </c>
    </row>
    <row r="36" spans="1:7" ht="18.75">
      <c r="A36" s="405">
        <f>IF(Table3[[#This Row],[4]]&gt;0,1,0)+A35</f>
        <v>28</v>
      </c>
      <c r="B36" s="406" t="str">
        <f>'Formet 8'!C41</f>
        <v/>
      </c>
      <c r="C36" s="407" t="str">
        <f>'Formet 8'!F41</f>
        <v/>
      </c>
      <c r="D36" s="408" t="str">
        <f>'Formet 8'!I41</f>
        <v/>
      </c>
      <c r="E36" s="409">
        <f t="shared" si="1"/>
        <v>0.03</v>
      </c>
      <c r="F36" s="410" t="str">
        <f t="shared" si="0"/>
        <v/>
      </c>
      <c r="G36" s="411">
        <v>0</v>
      </c>
    </row>
    <row r="37" spans="1:7" ht="18.75">
      <c r="A37" s="405">
        <f>IF(Table3[[#This Row],[4]]&gt;0,1,0)+A36</f>
        <v>29</v>
      </c>
      <c r="B37" s="406" t="str">
        <f>'Formet 8'!C42</f>
        <v/>
      </c>
      <c r="C37" s="407" t="str">
        <f>'Formet 8'!F42</f>
        <v/>
      </c>
      <c r="D37" s="408" t="str">
        <f>'Formet 8'!I42</f>
        <v/>
      </c>
      <c r="E37" s="409">
        <f t="shared" si="1"/>
        <v>0.03</v>
      </c>
      <c r="F37" s="410" t="str">
        <f t="shared" si="0"/>
        <v/>
      </c>
      <c r="G37" s="411">
        <v>0</v>
      </c>
    </row>
    <row r="38" spans="1:7" ht="18.75">
      <c r="A38" s="405">
        <f>IF(Table3[[#This Row],[4]]&gt;0,1,0)+A37</f>
        <v>30</v>
      </c>
      <c r="B38" s="406" t="str">
        <f>'Formet 8'!C43</f>
        <v/>
      </c>
      <c r="C38" s="407" t="str">
        <f>'Formet 8'!F43</f>
        <v/>
      </c>
      <c r="D38" s="408" t="str">
        <f>'Formet 8'!I43</f>
        <v/>
      </c>
      <c r="E38" s="409">
        <f t="shared" si="1"/>
        <v>0.03</v>
      </c>
      <c r="F38" s="410" t="str">
        <f t="shared" si="0"/>
        <v/>
      </c>
      <c r="G38" s="411">
        <v>0</v>
      </c>
    </row>
    <row r="39" spans="1:7" ht="18.75">
      <c r="A39" s="405">
        <f>IF(Table3[[#This Row],[4]]&gt;0,1,0)+A38</f>
        <v>31</v>
      </c>
      <c r="B39" s="406" t="str">
        <f>'Formet 8'!C44</f>
        <v/>
      </c>
      <c r="C39" s="407" t="str">
        <f>'Formet 8'!F44</f>
        <v/>
      </c>
      <c r="D39" s="408" t="str">
        <f>'Formet 8'!I44</f>
        <v/>
      </c>
      <c r="E39" s="409">
        <f t="shared" si="1"/>
        <v>0.03</v>
      </c>
      <c r="F39" s="410" t="str">
        <f t="shared" ref="F39:F65" si="2">IF(AND(D39=""),"",ROUND((D39*E39)*2,0))</f>
        <v/>
      </c>
      <c r="G39" s="411">
        <v>0</v>
      </c>
    </row>
    <row r="40" spans="1:7" ht="18.75">
      <c r="A40" s="405">
        <f>IF(Table3[[#This Row],[4]]&gt;0,1,0)+A39</f>
        <v>32</v>
      </c>
      <c r="B40" s="406" t="str">
        <f>'Formet 8'!C45</f>
        <v/>
      </c>
      <c r="C40" s="407" t="str">
        <f>'Formet 8'!F45</f>
        <v/>
      </c>
      <c r="D40" s="408" t="str">
        <f>'Formet 8'!I45</f>
        <v/>
      </c>
      <c r="E40" s="409">
        <f t="shared" si="1"/>
        <v>0.03</v>
      </c>
      <c r="F40" s="410" t="str">
        <f t="shared" si="2"/>
        <v/>
      </c>
      <c r="G40" s="411">
        <v>0</v>
      </c>
    </row>
    <row r="41" spans="1:7" ht="18.75">
      <c r="A41" s="405">
        <f>IF(Table3[[#This Row],[4]]&gt;0,1,0)+A40</f>
        <v>33</v>
      </c>
      <c r="B41" s="406" t="str">
        <f>'Formet 8'!C46</f>
        <v/>
      </c>
      <c r="C41" s="407" t="str">
        <f>'Formet 8'!F46</f>
        <v/>
      </c>
      <c r="D41" s="408" t="str">
        <f>'Formet 8'!I46</f>
        <v/>
      </c>
      <c r="E41" s="409">
        <f t="shared" si="1"/>
        <v>0.03</v>
      </c>
      <c r="F41" s="410" t="str">
        <f t="shared" si="2"/>
        <v/>
      </c>
      <c r="G41" s="411">
        <v>0</v>
      </c>
    </row>
    <row r="42" spans="1:7" ht="18.75">
      <c r="A42" s="405">
        <f>IF(Table3[[#This Row],[4]]&gt;0,1,0)+A41</f>
        <v>34</v>
      </c>
      <c r="B42" s="406" t="str">
        <f>'Formet 8'!C47</f>
        <v/>
      </c>
      <c r="C42" s="407" t="str">
        <f>'Formet 8'!F47</f>
        <v/>
      </c>
      <c r="D42" s="408" t="str">
        <f>'Formet 8'!I47</f>
        <v/>
      </c>
      <c r="E42" s="409">
        <f t="shared" si="1"/>
        <v>0.03</v>
      </c>
      <c r="F42" s="410" t="str">
        <f t="shared" si="2"/>
        <v/>
      </c>
      <c r="G42" s="411">
        <v>0</v>
      </c>
    </row>
    <row r="43" spans="1:7" ht="18.75">
      <c r="A43" s="405">
        <f>IF(Table3[[#This Row],[4]]&gt;0,1,0)+A42</f>
        <v>35</v>
      </c>
      <c r="B43" s="406" t="str">
        <f>'Formet 8'!C48</f>
        <v/>
      </c>
      <c r="C43" s="407" t="str">
        <f>'Formet 8'!F48</f>
        <v/>
      </c>
      <c r="D43" s="408" t="str">
        <f>'Formet 8'!I48</f>
        <v/>
      </c>
      <c r="E43" s="409">
        <f t="shared" si="1"/>
        <v>0.03</v>
      </c>
      <c r="F43" s="410" t="str">
        <f t="shared" si="2"/>
        <v/>
      </c>
      <c r="G43" s="411">
        <v>0</v>
      </c>
    </row>
    <row r="44" spans="1:7" ht="18.75">
      <c r="A44" s="405">
        <f>IF(Table3[[#This Row],[4]]&gt;0,1,0)+A43</f>
        <v>36</v>
      </c>
      <c r="B44" s="406" t="str">
        <f>'Formet 8'!C49</f>
        <v/>
      </c>
      <c r="C44" s="407" t="str">
        <f>'Formet 8'!F49</f>
        <v/>
      </c>
      <c r="D44" s="408" t="str">
        <f>'Formet 8'!I49</f>
        <v/>
      </c>
      <c r="E44" s="409">
        <f t="shared" si="1"/>
        <v>0.03</v>
      </c>
      <c r="F44" s="410" t="str">
        <f t="shared" si="2"/>
        <v/>
      </c>
      <c r="G44" s="411">
        <v>0</v>
      </c>
    </row>
    <row r="45" spans="1:7" ht="18.75">
      <c r="A45" s="405">
        <f>IF(Table3[[#This Row],[4]]&gt;0,1,0)+A44</f>
        <v>37</v>
      </c>
      <c r="B45" s="406" t="str">
        <f>'Formet 8'!C50</f>
        <v/>
      </c>
      <c r="C45" s="407" t="str">
        <f>'Formet 8'!F50</f>
        <v/>
      </c>
      <c r="D45" s="408" t="str">
        <f>'Formet 8'!I50</f>
        <v/>
      </c>
      <c r="E45" s="409">
        <f t="shared" si="1"/>
        <v>0.03</v>
      </c>
      <c r="F45" s="410" t="str">
        <f t="shared" si="2"/>
        <v/>
      </c>
      <c r="G45" s="411">
        <v>0</v>
      </c>
    </row>
    <row r="46" spans="1:7" ht="18.75">
      <c r="A46" s="405">
        <f>IF(Table3[[#This Row],[4]]&gt;0,1,0)+A45</f>
        <v>38</v>
      </c>
      <c r="B46" s="406" t="str">
        <f>'Formet 8'!C51</f>
        <v/>
      </c>
      <c r="C46" s="407" t="str">
        <f>'Formet 8'!F51</f>
        <v/>
      </c>
      <c r="D46" s="408" t="str">
        <f>'Formet 8'!I51</f>
        <v/>
      </c>
      <c r="E46" s="409">
        <f t="shared" si="1"/>
        <v>0.03</v>
      </c>
      <c r="F46" s="410" t="str">
        <f t="shared" si="2"/>
        <v/>
      </c>
      <c r="G46" s="411">
        <v>0</v>
      </c>
    </row>
    <row r="47" spans="1:7" ht="18.75">
      <c r="A47" s="405">
        <f>IF(Table3[[#This Row],[4]]&gt;0,1,0)+A46</f>
        <v>39</v>
      </c>
      <c r="B47" s="406" t="str">
        <f>'Formet 8'!C52</f>
        <v/>
      </c>
      <c r="C47" s="407" t="str">
        <f>'Formet 8'!F52</f>
        <v/>
      </c>
      <c r="D47" s="408" t="str">
        <f>'Formet 8'!I52</f>
        <v/>
      </c>
      <c r="E47" s="409">
        <f t="shared" si="1"/>
        <v>0.03</v>
      </c>
      <c r="F47" s="410" t="str">
        <f t="shared" si="2"/>
        <v/>
      </c>
      <c r="G47" s="411">
        <v>0</v>
      </c>
    </row>
    <row r="48" spans="1:7" ht="18.75">
      <c r="A48" s="405">
        <f>IF(Table3[[#This Row],[4]]&gt;0,1,0)+A47</f>
        <v>40</v>
      </c>
      <c r="B48" s="406" t="str">
        <f>'Formet 8'!C53</f>
        <v/>
      </c>
      <c r="C48" s="407" t="str">
        <f>'Formet 8'!F53</f>
        <v/>
      </c>
      <c r="D48" s="408" t="str">
        <f>'Formet 8'!I53</f>
        <v/>
      </c>
      <c r="E48" s="409">
        <f t="shared" si="1"/>
        <v>0.03</v>
      </c>
      <c r="F48" s="410" t="str">
        <f t="shared" si="2"/>
        <v/>
      </c>
      <c r="G48" s="411">
        <v>0</v>
      </c>
    </row>
    <row r="49" spans="1:7" ht="18.75">
      <c r="A49" s="405">
        <f>IF(Table3[[#This Row],[4]]&gt;0,1,0)+A48</f>
        <v>41</v>
      </c>
      <c r="B49" s="406" t="str">
        <f>'Formet 8'!C54</f>
        <v/>
      </c>
      <c r="C49" s="407" t="str">
        <f>'Formet 8'!F54</f>
        <v/>
      </c>
      <c r="D49" s="408" t="str">
        <f>'Formet 8'!I54</f>
        <v/>
      </c>
      <c r="E49" s="409">
        <f t="shared" si="1"/>
        <v>0.03</v>
      </c>
      <c r="F49" s="410" t="str">
        <f t="shared" si="2"/>
        <v/>
      </c>
      <c r="G49" s="411">
        <v>0</v>
      </c>
    </row>
    <row r="50" spans="1:7" ht="18.75">
      <c r="A50" s="405">
        <f>IF(Table3[[#This Row],[4]]&gt;0,1,0)+A49</f>
        <v>42</v>
      </c>
      <c r="B50" s="406" t="str">
        <f>'Formet 8'!C55</f>
        <v/>
      </c>
      <c r="C50" s="407" t="str">
        <f>'Formet 8'!F55</f>
        <v/>
      </c>
      <c r="D50" s="408" t="str">
        <f>'Formet 8'!I55</f>
        <v/>
      </c>
      <c r="E50" s="409">
        <f t="shared" si="1"/>
        <v>0.03</v>
      </c>
      <c r="F50" s="410" t="str">
        <f t="shared" si="2"/>
        <v/>
      </c>
      <c r="G50" s="411">
        <v>0</v>
      </c>
    </row>
    <row r="51" spans="1:7" ht="18.75">
      <c r="A51" s="405">
        <f>IF(Table3[[#This Row],[4]]&gt;0,1,0)+A50</f>
        <v>43</v>
      </c>
      <c r="B51" s="406" t="str">
        <f>'Formet 8'!C56</f>
        <v/>
      </c>
      <c r="C51" s="407" t="str">
        <f>'Formet 8'!F56</f>
        <v/>
      </c>
      <c r="D51" s="408" t="str">
        <f>'Formet 8'!I56</f>
        <v/>
      </c>
      <c r="E51" s="409">
        <f t="shared" si="1"/>
        <v>0.03</v>
      </c>
      <c r="F51" s="410" t="str">
        <f t="shared" si="2"/>
        <v/>
      </c>
      <c r="G51" s="411">
        <v>0</v>
      </c>
    </row>
    <row r="52" spans="1:7" ht="18.75">
      <c r="A52" s="405">
        <f>IF(Table3[[#This Row],[4]]&gt;0,1,0)+A51</f>
        <v>44</v>
      </c>
      <c r="B52" s="406" t="str">
        <f>'Formet 8'!C57</f>
        <v/>
      </c>
      <c r="C52" s="407" t="str">
        <f>'Formet 8'!F57</f>
        <v/>
      </c>
      <c r="D52" s="408" t="str">
        <f>'Formet 8'!I57</f>
        <v/>
      </c>
      <c r="E52" s="409">
        <f t="shared" si="1"/>
        <v>0.03</v>
      </c>
      <c r="F52" s="410" t="str">
        <f t="shared" si="2"/>
        <v/>
      </c>
      <c r="G52" s="411">
        <v>0</v>
      </c>
    </row>
    <row r="53" spans="1:7" ht="18.75">
      <c r="A53" s="405">
        <f>IF(Table3[[#This Row],[4]]&gt;0,1,0)+A52</f>
        <v>45</v>
      </c>
      <c r="B53" s="406" t="str">
        <f>'Formet 8'!C58</f>
        <v/>
      </c>
      <c r="C53" s="407" t="str">
        <f>'Formet 8'!F58</f>
        <v/>
      </c>
      <c r="D53" s="408" t="str">
        <f>'Formet 8'!I58</f>
        <v/>
      </c>
      <c r="E53" s="409">
        <f t="shared" si="1"/>
        <v>0.03</v>
      </c>
      <c r="F53" s="410" t="str">
        <f t="shared" si="2"/>
        <v/>
      </c>
      <c r="G53" s="411">
        <v>0</v>
      </c>
    </row>
    <row r="54" spans="1:7" ht="18.75">
      <c r="A54" s="405">
        <f>IF(Table3[[#This Row],[4]]&gt;0,1,0)+A53</f>
        <v>46</v>
      </c>
      <c r="B54" s="406" t="str">
        <f>'Formet 8'!C59</f>
        <v/>
      </c>
      <c r="C54" s="407" t="str">
        <f>'Formet 8'!F59</f>
        <v/>
      </c>
      <c r="D54" s="408" t="str">
        <f>'Formet 8'!I59</f>
        <v/>
      </c>
      <c r="E54" s="409">
        <f t="shared" si="1"/>
        <v>0.03</v>
      </c>
      <c r="F54" s="410" t="str">
        <f t="shared" si="2"/>
        <v/>
      </c>
      <c r="G54" s="411">
        <v>0</v>
      </c>
    </row>
    <row r="55" spans="1:7" ht="18.75">
      <c r="A55" s="405">
        <f>IF(Table3[[#This Row],[4]]&gt;0,1,0)+A54</f>
        <v>47</v>
      </c>
      <c r="B55" s="406" t="str">
        <f>'Formet 8'!C60</f>
        <v/>
      </c>
      <c r="C55" s="407" t="str">
        <f>'Formet 8'!F60</f>
        <v/>
      </c>
      <c r="D55" s="408" t="str">
        <f>'Formet 8'!I60</f>
        <v/>
      </c>
      <c r="E55" s="409">
        <f t="shared" si="1"/>
        <v>0.03</v>
      </c>
      <c r="F55" s="410" t="str">
        <f t="shared" si="2"/>
        <v/>
      </c>
      <c r="G55" s="411">
        <v>0</v>
      </c>
    </row>
    <row r="56" spans="1:7" ht="18.75">
      <c r="A56" s="405">
        <f>IF(Table3[[#This Row],[4]]&gt;0,1,0)+A55</f>
        <v>48</v>
      </c>
      <c r="B56" s="406" t="str">
        <f>'Formet 8'!C61</f>
        <v/>
      </c>
      <c r="C56" s="407" t="str">
        <f>'Formet 8'!F61</f>
        <v/>
      </c>
      <c r="D56" s="408" t="str">
        <f>'Formet 8'!I61</f>
        <v/>
      </c>
      <c r="E56" s="409">
        <f t="shared" si="1"/>
        <v>0.03</v>
      </c>
      <c r="F56" s="410" t="str">
        <f t="shared" si="2"/>
        <v/>
      </c>
      <c r="G56" s="411">
        <v>0</v>
      </c>
    </row>
    <row r="57" spans="1:7" ht="18.75">
      <c r="A57" s="405">
        <f>IF(Table3[[#This Row],[4]]&gt;0,1,0)+A56</f>
        <v>49</v>
      </c>
      <c r="B57" s="406" t="str">
        <f>'Formet 8'!C62</f>
        <v/>
      </c>
      <c r="C57" s="407" t="str">
        <f>'Formet 8'!F62</f>
        <v/>
      </c>
      <c r="D57" s="408" t="str">
        <f>'Formet 8'!I62</f>
        <v/>
      </c>
      <c r="E57" s="409">
        <f t="shared" si="1"/>
        <v>0.03</v>
      </c>
      <c r="F57" s="410" t="str">
        <f t="shared" si="2"/>
        <v/>
      </c>
      <c r="G57" s="411">
        <v>0</v>
      </c>
    </row>
    <row r="58" spans="1:7" ht="18.75">
      <c r="A58" s="405">
        <f>IF(Table3[[#This Row],[4]]&gt;0,1,0)+A57</f>
        <v>50</v>
      </c>
      <c r="B58" s="406" t="str">
        <f>'Formet 8'!C63</f>
        <v/>
      </c>
      <c r="C58" s="407" t="str">
        <f>'Formet 8'!F63</f>
        <v/>
      </c>
      <c r="D58" s="408" t="str">
        <f>'Formet 8'!I63</f>
        <v/>
      </c>
      <c r="E58" s="409">
        <f t="shared" si="1"/>
        <v>0.03</v>
      </c>
      <c r="F58" s="410" t="str">
        <f t="shared" si="2"/>
        <v/>
      </c>
      <c r="G58" s="411">
        <v>0</v>
      </c>
    </row>
    <row r="59" spans="1:7" ht="18.75">
      <c r="A59" s="405">
        <f>IF(Table3[[#This Row],[4]]&gt;0,1,0)+A58</f>
        <v>51</v>
      </c>
      <c r="B59" s="406" t="str">
        <f>'Formet 8'!C64</f>
        <v/>
      </c>
      <c r="C59" s="407" t="str">
        <f>'Formet 8'!F64</f>
        <v/>
      </c>
      <c r="D59" s="408" t="str">
        <f>'Formet 8'!I64</f>
        <v/>
      </c>
      <c r="E59" s="409">
        <f t="shared" si="1"/>
        <v>0.03</v>
      </c>
      <c r="F59" s="410" t="str">
        <f t="shared" si="2"/>
        <v/>
      </c>
      <c r="G59" s="411">
        <v>0</v>
      </c>
    </row>
    <row r="60" spans="1:7" ht="18.75">
      <c r="A60" s="405">
        <f>IF(Table3[[#This Row],[4]]&gt;0,1,0)+A59</f>
        <v>52</v>
      </c>
      <c r="B60" s="406" t="str">
        <f>'Formet 8'!C65</f>
        <v/>
      </c>
      <c r="C60" s="407" t="str">
        <f>'Formet 8'!F65</f>
        <v/>
      </c>
      <c r="D60" s="408" t="str">
        <f>'Formet 8'!I65</f>
        <v/>
      </c>
      <c r="E60" s="409">
        <f t="shared" si="1"/>
        <v>0.03</v>
      </c>
      <c r="F60" s="410" t="str">
        <f t="shared" ref="F60:F61" si="3">IF(AND(D60=""),"",ROUND((D60*E60)*2,0))</f>
        <v/>
      </c>
      <c r="G60" s="411">
        <v>0</v>
      </c>
    </row>
    <row r="61" spans="1:7" ht="18.75">
      <c r="A61" s="405">
        <f>IF(Table3[[#This Row],[4]]&gt;0,1,0)+A60</f>
        <v>53</v>
      </c>
      <c r="B61" s="406" t="str">
        <f>'Formet 8'!C66</f>
        <v/>
      </c>
      <c r="C61" s="407" t="str">
        <f>'Formet 8'!F66</f>
        <v/>
      </c>
      <c r="D61" s="408" t="str">
        <f>'Formet 8'!I66</f>
        <v/>
      </c>
      <c r="E61" s="409">
        <f t="shared" si="1"/>
        <v>0.03</v>
      </c>
      <c r="F61" s="410" t="str">
        <f t="shared" si="3"/>
        <v/>
      </c>
      <c r="G61" s="411">
        <v>0</v>
      </c>
    </row>
    <row r="62" spans="1:7" ht="18.75">
      <c r="A62" s="405">
        <f>IF(Table3[[#This Row],[4]]&gt;0,1,0)+A61</f>
        <v>54</v>
      </c>
      <c r="B62" s="406" t="str">
        <f>'Formet 8'!C67</f>
        <v/>
      </c>
      <c r="C62" s="407" t="str">
        <f>'Formet 8'!F67</f>
        <v/>
      </c>
      <c r="D62" s="408" t="str">
        <f>'Formet 8'!I67</f>
        <v/>
      </c>
      <c r="E62" s="409">
        <f>E60</f>
        <v>0.03</v>
      </c>
      <c r="F62" s="410" t="str">
        <f t="shared" si="2"/>
        <v/>
      </c>
      <c r="G62" s="411">
        <v>0</v>
      </c>
    </row>
    <row r="63" spans="1:7" ht="18.75">
      <c r="A63" s="405">
        <f>IF(Table3[[#This Row],[4]]&gt;0,1,0)+A62</f>
        <v>55</v>
      </c>
      <c r="B63" s="406" t="str">
        <f>'Formet 8'!C68</f>
        <v/>
      </c>
      <c r="C63" s="407" t="str">
        <f>'Formet 8'!F68</f>
        <v/>
      </c>
      <c r="D63" s="408" t="str">
        <f>'Formet 8'!I68</f>
        <v/>
      </c>
      <c r="E63" s="409">
        <f t="shared" si="1"/>
        <v>0.03</v>
      </c>
      <c r="F63" s="410" t="str">
        <f t="shared" si="2"/>
        <v/>
      </c>
      <c r="G63" s="411">
        <v>0</v>
      </c>
    </row>
    <row r="64" spans="1:7" ht="18.75">
      <c r="A64" s="405">
        <f>IF(Table3[[#This Row],[4]]&gt;0,1,0)+A63</f>
        <v>56</v>
      </c>
      <c r="B64" s="406" t="str">
        <f>'Formet 8'!C69</f>
        <v/>
      </c>
      <c r="C64" s="407" t="str">
        <f>'Formet 8'!F69</f>
        <v/>
      </c>
      <c r="D64" s="408" t="str">
        <f>'Formet 8'!I69</f>
        <v/>
      </c>
      <c r="E64" s="409">
        <f t="shared" si="1"/>
        <v>0.03</v>
      </c>
      <c r="F64" s="410" t="str">
        <f t="shared" si="2"/>
        <v/>
      </c>
      <c r="G64" s="411">
        <v>0</v>
      </c>
    </row>
    <row r="65" spans="1:8" ht="18.75">
      <c r="A65" s="405">
        <f>IF(Table3[[#This Row],[4]]&gt;0,1,0)+A64</f>
        <v>57</v>
      </c>
      <c r="B65" s="406" t="str">
        <f>'Formet 8'!C70</f>
        <v/>
      </c>
      <c r="C65" s="407" t="str">
        <f>'Formet 8'!F70</f>
        <v/>
      </c>
      <c r="D65" s="408" t="str">
        <f>'Formet 8'!I70</f>
        <v/>
      </c>
      <c r="E65" s="409">
        <f t="shared" si="1"/>
        <v>0.03</v>
      </c>
      <c r="F65" s="410" t="str">
        <f t="shared" si="2"/>
        <v/>
      </c>
      <c r="G65" s="411">
        <v>0</v>
      </c>
    </row>
    <row r="66" spans="1:8" ht="18.75">
      <c r="A66" s="412"/>
      <c r="B66" s="413" t="s">
        <v>473</v>
      </c>
      <c r="C66" s="413"/>
      <c r="D66" s="413"/>
      <c r="E66" s="413"/>
      <c r="F66" s="414">
        <f>SUM(F7:F65)</f>
        <v>473544</v>
      </c>
      <c r="G66" s="414">
        <f>SUM(G7:G65)</f>
        <v>0</v>
      </c>
    </row>
    <row r="68" spans="1:8" ht="18.75">
      <c r="E68" s="713" t="str">
        <f>Master!C2</f>
        <v>iz/kkukpk;Z</v>
      </c>
      <c r="F68" s="713"/>
      <c r="G68" s="713"/>
      <c r="H68" s="416"/>
    </row>
    <row r="69" spans="1:8" ht="15" customHeight="1">
      <c r="E69" s="588" t="str">
        <f>Master!D2</f>
        <v>jktdh; vkn'kZ mPp ek/;fed fo|ky; bdygjk ¼ Mhx ½</v>
      </c>
      <c r="F69" s="588"/>
      <c r="G69" s="588"/>
      <c r="H69" s="163"/>
    </row>
    <row r="70" spans="1:8" ht="23.25" customHeight="1">
      <c r="E70" s="588"/>
      <c r="F70" s="588"/>
      <c r="G70" s="588"/>
      <c r="H70" s="163"/>
    </row>
  </sheetData>
  <mergeCells count="6">
    <mergeCell ref="E69:G70"/>
    <mergeCell ref="A1:G1"/>
    <mergeCell ref="A2:G2"/>
    <mergeCell ref="A3:G3"/>
    <mergeCell ref="A4:G4"/>
    <mergeCell ref="E68:G68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T18"/>
  <sheetViews>
    <sheetView workbookViewId="0">
      <selection activeCell="V8" sqref="V8"/>
    </sheetView>
  </sheetViews>
  <sheetFormatPr defaultRowHeight="15"/>
  <cols>
    <col min="1" max="1" width="4.7109375" style="105" customWidth="1"/>
    <col min="2" max="2" width="18.7109375" style="106" customWidth="1"/>
    <col min="3" max="3" width="6" style="106" customWidth="1"/>
    <col min="4" max="5" width="8.5703125" style="106" customWidth="1"/>
    <col min="6" max="6" width="5.140625" style="106" customWidth="1"/>
    <col min="7" max="7" width="9.42578125" style="106" bestFit="1" customWidth="1"/>
    <col min="8" max="16" width="5.28515625" style="106" customWidth="1"/>
    <col min="17" max="17" width="7.28515625" style="106" customWidth="1"/>
    <col min="18" max="18" width="10.5703125" style="106" customWidth="1"/>
    <col min="19" max="19" width="10.140625" style="106" customWidth="1"/>
    <col min="20" max="16384" width="9.140625" style="106"/>
  </cols>
  <sheetData>
    <row r="1" spans="1:20" ht="15.75">
      <c r="A1" s="427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684">
        <f>Summary!$C$1</f>
        <v>30695</v>
      </c>
      <c r="R1" s="684"/>
      <c r="S1" s="684"/>
    </row>
    <row r="2" spans="1:20" ht="20.25">
      <c r="A2" s="746" t="str">
        <f>Summary!$A$2</f>
        <v>iz/kkukpk;Z jktdh; vkn'kZ mPp ek/;fed fo|ky; bdygjk ¼ Mhx ½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</row>
    <row r="3" spans="1:20" ht="20.25">
      <c r="A3" s="746" t="s">
        <v>481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</row>
    <row r="4" spans="1:20" ht="20.25">
      <c r="A4" s="746" t="s">
        <v>663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</row>
    <row r="5" spans="1:20" ht="19.5" customHeight="1">
      <c r="A5" s="744" t="str">
        <f>[1]Summary!A5</f>
        <v>BUDGET HEAD : 2202-GENERAL EDUCATION, 02-SECONDARY EDUCATION, 109-GOVT. SEC. SCHOOL, (27)-BOYS SCHOOL (01) (STATE FUND)</v>
      </c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</row>
    <row r="6" spans="1:20" ht="20.25" customHeight="1">
      <c r="A6" s="636" t="s">
        <v>8</v>
      </c>
      <c r="B6" s="636" t="s">
        <v>384</v>
      </c>
      <c r="C6" s="636" t="s">
        <v>435</v>
      </c>
      <c r="D6" s="636"/>
      <c r="E6" s="636"/>
      <c r="F6" s="636"/>
      <c r="G6" s="636" t="s">
        <v>482</v>
      </c>
      <c r="H6" s="636" t="s">
        <v>483</v>
      </c>
      <c r="I6" s="636"/>
      <c r="J6" s="636"/>
      <c r="K6" s="636"/>
      <c r="L6" s="636"/>
      <c r="M6" s="636"/>
      <c r="N6" s="636"/>
      <c r="O6" s="636"/>
      <c r="P6" s="636"/>
      <c r="Q6" s="636"/>
      <c r="R6" s="636" t="s">
        <v>484</v>
      </c>
      <c r="S6" s="636" t="s">
        <v>485</v>
      </c>
    </row>
    <row r="7" spans="1:20" ht="40.5" customHeight="1">
      <c r="A7" s="636"/>
      <c r="B7" s="636"/>
      <c r="C7" s="745" t="s">
        <v>486</v>
      </c>
      <c r="D7" s="745" t="s">
        <v>487</v>
      </c>
      <c r="E7" s="745" t="s">
        <v>488</v>
      </c>
      <c r="F7" s="745" t="s">
        <v>489</v>
      </c>
      <c r="G7" s="636"/>
      <c r="H7" s="636" t="s">
        <v>486</v>
      </c>
      <c r="I7" s="636"/>
      <c r="J7" s="636"/>
      <c r="K7" s="636" t="s">
        <v>487</v>
      </c>
      <c r="L7" s="636"/>
      <c r="M7" s="636"/>
      <c r="N7" s="636" t="s">
        <v>488</v>
      </c>
      <c r="O7" s="636"/>
      <c r="P7" s="636"/>
      <c r="Q7" s="745" t="s">
        <v>40</v>
      </c>
      <c r="R7" s="636"/>
      <c r="S7" s="636"/>
    </row>
    <row r="8" spans="1:20" ht="44.25" customHeight="1">
      <c r="A8" s="636"/>
      <c r="B8" s="636"/>
      <c r="C8" s="745"/>
      <c r="D8" s="745"/>
      <c r="E8" s="745"/>
      <c r="F8" s="745"/>
      <c r="G8" s="636"/>
      <c r="H8" s="428" t="s">
        <v>490</v>
      </c>
      <c r="I8" s="428" t="s">
        <v>491</v>
      </c>
      <c r="J8" s="428" t="s">
        <v>489</v>
      </c>
      <c r="K8" s="428" t="s">
        <v>490</v>
      </c>
      <c r="L8" s="428" t="s">
        <v>491</v>
      </c>
      <c r="M8" s="428" t="s">
        <v>489</v>
      </c>
      <c r="N8" s="428" t="s">
        <v>490</v>
      </c>
      <c r="O8" s="428" t="s">
        <v>491</v>
      </c>
      <c r="P8" s="428" t="s">
        <v>489</v>
      </c>
      <c r="Q8" s="745"/>
      <c r="R8" s="636"/>
      <c r="S8" s="636"/>
    </row>
    <row r="9" spans="1:20" ht="20.25" customHeight="1">
      <c r="A9" s="229">
        <v>1</v>
      </c>
      <c r="B9" s="229">
        <v>2</v>
      </c>
      <c r="C9" s="229">
        <v>3</v>
      </c>
      <c r="D9" s="229">
        <v>4</v>
      </c>
      <c r="E9" s="229">
        <v>5</v>
      </c>
      <c r="F9" s="229">
        <v>6</v>
      </c>
      <c r="G9" s="229">
        <v>7</v>
      </c>
      <c r="H9" s="229">
        <v>8</v>
      </c>
      <c r="I9" s="229">
        <v>9</v>
      </c>
      <c r="J9" s="229">
        <v>10</v>
      </c>
      <c r="K9" s="229">
        <v>11</v>
      </c>
      <c r="L9" s="229">
        <v>12</v>
      </c>
      <c r="M9" s="229">
        <v>13</v>
      </c>
      <c r="N9" s="229">
        <v>14</v>
      </c>
      <c r="O9" s="229">
        <v>15</v>
      </c>
      <c r="P9" s="229">
        <v>16</v>
      </c>
      <c r="Q9" s="229">
        <v>17</v>
      </c>
      <c r="R9" s="229">
        <v>18</v>
      </c>
      <c r="S9" s="229">
        <v>19</v>
      </c>
      <c r="T9" s="426"/>
    </row>
    <row r="10" spans="1:20" s="310" customFormat="1" ht="47.25" customHeight="1">
      <c r="A10" s="325">
        <v>1</v>
      </c>
      <c r="B10" s="343" t="str">
        <f>$P$16</f>
        <v>jktdh; vkn'kZ mPp ek/;fed fo|ky; bdygjk ¼ Mhx ½</v>
      </c>
      <c r="C10" s="429">
        <f>'Format 1A'!F30</f>
        <v>0</v>
      </c>
      <c r="D10" s="429">
        <f>'[1](4) Format 1(A)'!F29</f>
        <v>0</v>
      </c>
      <c r="E10" s="429">
        <f>'[1](4) Format 1(A)'!F31</f>
        <v>3</v>
      </c>
      <c r="F10" s="327">
        <f>SUM(C10:E10)</f>
        <v>3</v>
      </c>
      <c r="G10" s="429">
        <f>'Format 1A'!U29</f>
        <v>0</v>
      </c>
      <c r="H10" s="429">
        <f>'Formet 8'!U334</f>
        <v>0</v>
      </c>
      <c r="I10" s="429">
        <f>'Formet 8'!V334</f>
        <v>0</v>
      </c>
      <c r="J10" s="327">
        <f>SUM(H10:I10)</f>
        <v>0</v>
      </c>
      <c r="K10" s="429">
        <f>'Formet 8'!W334</f>
        <v>0</v>
      </c>
      <c r="L10" s="429">
        <f>'Formet 8'!X334</f>
        <v>0</v>
      </c>
      <c r="M10" s="327">
        <f>SUM(K10:L10)</f>
        <v>0</v>
      </c>
      <c r="N10" s="429">
        <f>'Formet 8'!Y334</f>
        <v>0</v>
      </c>
      <c r="O10" s="429">
        <f>'Formet 8'!Z334</f>
        <v>0</v>
      </c>
      <c r="P10" s="327">
        <f>SUM(N10:O10)</f>
        <v>0</v>
      </c>
      <c r="Q10" s="327">
        <f>J10+M10+P10</f>
        <v>0</v>
      </c>
      <c r="R10" s="429">
        <f>H10*1800+I10*1800+(K10+N10)*1650+(L10+O10)*1950</f>
        <v>0</v>
      </c>
      <c r="S10" s="429">
        <f>G10-R10</f>
        <v>0</v>
      </c>
    </row>
    <row r="11" spans="1:20" ht="45.75" customHeight="1">
      <c r="A11" s="290"/>
      <c r="B11" s="371" t="s">
        <v>409</v>
      </c>
      <c r="C11" s="327">
        <f>SUM(C10:C10)</f>
        <v>0</v>
      </c>
      <c r="D11" s="327">
        <f t="shared" ref="D11:S11" si="0">SUM(D10:D10)</f>
        <v>0</v>
      </c>
      <c r="E11" s="327">
        <f t="shared" si="0"/>
        <v>3</v>
      </c>
      <c r="F11" s="327">
        <f t="shared" si="0"/>
        <v>3</v>
      </c>
      <c r="G11" s="327">
        <f t="shared" si="0"/>
        <v>0</v>
      </c>
      <c r="H11" s="327">
        <f t="shared" si="0"/>
        <v>0</v>
      </c>
      <c r="I11" s="327">
        <f t="shared" si="0"/>
        <v>0</v>
      </c>
      <c r="J11" s="327">
        <f t="shared" si="0"/>
        <v>0</v>
      </c>
      <c r="K11" s="327">
        <f t="shared" si="0"/>
        <v>0</v>
      </c>
      <c r="L11" s="327">
        <f t="shared" si="0"/>
        <v>0</v>
      </c>
      <c r="M11" s="327">
        <f t="shared" si="0"/>
        <v>0</v>
      </c>
      <c r="N11" s="327">
        <f t="shared" si="0"/>
        <v>0</v>
      </c>
      <c r="O11" s="327">
        <f t="shared" si="0"/>
        <v>0</v>
      </c>
      <c r="P11" s="327">
        <f t="shared" si="0"/>
        <v>0</v>
      </c>
      <c r="Q11" s="327">
        <f t="shared" si="0"/>
        <v>0</v>
      </c>
      <c r="R11" s="327">
        <f t="shared" si="0"/>
        <v>0</v>
      </c>
      <c r="S11" s="327">
        <f t="shared" si="0"/>
        <v>0</v>
      </c>
    </row>
    <row r="12" spans="1:20">
      <c r="A12" s="427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20">
      <c r="A13" s="427"/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20">
      <c r="A14" s="427"/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20" ht="20.25">
      <c r="A15" s="427"/>
      <c r="B15" s="324"/>
      <c r="C15" s="324"/>
      <c r="D15" s="324"/>
      <c r="E15" s="324"/>
      <c r="F15" s="324"/>
      <c r="G15" s="324"/>
      <c r="H15" s="162"/>
      <c r="I15" s="162"/>
      <c r="J15" s="162"/>
      <c r="K15" s="162"/>
      <c r="L15" s="162"/>
      <c r="M15" s="162"/>
      <c r="N15" s="162"/>
      <c r="O15" s="162"/>
      <c r="P15" s="742" t="str">
        <f>Master!C2</f>
        <v>iz/kkukpk;Z</v>
      </c>
      <c r="Q15" s="742"/>
      <c r="R15" s="742"/>
      <c r="S15" s="742"/>
    </row>
    <row r="16" spans="1:20">
      <c r="A16" s="427"/>
      <c r="B16" s="324"/>
      <c r="C16" s="162"/>
      <c r="D16" s="162"/>
      <c r="E16" s="162"/>
      <c r="F16" s="324"/>
      <c r="G16" s="324"/>
      <c r="H16" s="162"/>
      <c r="I16" s="162"/>
      <c r="J16" s="162"/>
      <c r="K16" s="162"/>
      <c r="L16" s="162"/>
      <c r="M16" s="162"/>
      <c r="N16" s="162"/>
      <c r="O16" s="162"/>
      <c r="P16" s="743" t="str">
        <f>Master!D2</f>
        <v>jktdh; vkn'kZ mPp ek/;fed fo|ky; bdygjk ¼ Mhx ½</v>
      </c>
      <c r="Q16" s="743"/>
      <c r="R16" s="743"/>
      <c r="S16" s="743"/>
    </row>
    <row r="17" spans="1:19">
      <c r="A17" s="427"/>
      <c r="B17" s="324"/>
      <c r="C17" s="324"/>
      <c r="D17" s="324"/>
      <c r="E17" s="324"/>
      <c r="F17" s="324"/>
      <c r="G17" s="324"/>
      <c r="H17" s="162"/>
      <c r="I17" s="162"/>
      <c r="J17" s="162"/>
      <c r="K17" s="162"/>
      <c r="L17" s="162"/>
      <c r="M17" s="162"/>
      <c r="N17" s="162"/>
      <c r="O17" s="162"/>
      <c r="P17" s="743"/>
      <c r="Q17" s="743"/>
      <c r="R17" s="743"/>
      <c r="S17" s="743"/>
    </row>
    <row r="18" spans="1:19">
      <c r="A18" s="427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743"/>
      <c r="Q18" s="743"/>
      <c r="R18" s="743"/>
      <c r="S18" s="743"/>
    </row>
  </sheetData>
  <mergeCells count="22">
    <mergeCell ref="Q1:S1"/>
    <mergeCell ref="A2:S2"/>
    <mergeCell ref="A3:S3"/>
    <mergeCell ref="A4:S4"/>
    <mergeCell ref="A6:A8"/>
    <mergeCell ref="B6:B8"/>
    <mergeCell ref="C6:F6"/>
    <mergeCell ref="G6:G8"/>
    <mergeCell ref="H6:Q6"/>
    <mergeCell ref="R6:R8"/>
    <mergeCell ref="P15:S15"/>
    <mergeCell ref="P16:S18"/>
    <mergeCell ref="A5:S5"/>
    <mergeCell ref="S6:S8"/>
    <mergeCell ref="C7:C8"/>
    <mergeCell ref="D7:D8"/>
    <mergeCell ref="E7:E8"/>
    <mergeCell ref="F7:F8"/>
    <mergeCell ref="H7:J7"/>
    <mergeCell ref="K7:M7"/>
    <mergeCell ref="N7:P7"/>
    <mergeCell ref="Q7:Q8"/>
  </mergeCells>
  <pageMargins left="0.45" right="0.45" top="0.75" bottom="0.75" header="0.3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BL17"/>
  <sheetViews>
    <sheetView workbookViewId="0">
      <selection activeCell="A4" sqref="A4:K4"/>
    </sheetView>
  </sheetViews>
  <sheetFormatPr defaultRowHeight="15"/>
  <cols>
    <col min="1" max="1" width="5.7109375" style="450" customWidth="1"/>
    <col min="2" max="2" width="19" style="450" customWidth="1"/>
    <col min="3" max="3" width="15" style="450" customWidth="1"/>
    <col min="4" max="4" width="14.85546875" style="450" customWidth="1"/>
    <col min="5" max="5" width="14.5703125" style="450" customWidth="1"/>
    <col min="6" max="6" width="14.28515625" style="450" customWidth="1"/>
    <col min="7" max="7" width="9" style="450" bestFit="1" customWidth="1"/>
    <col min="8" max="8" width="10.85546875" style="450" bestFit="1" customWidth="1"/>
    <col min="9" max="9" width="8.28515625" style="450" customWidth="1"/>
    <col min="10" max="10" width="10.42578125" style="450" customWidth="1"/>
    <col min="11" max="11" width="10.5703125" style="450" customWidth="1"/>
    <col min="12" max="12" width="9.140625" style="450"/>
    <col min="13" max="37" width="9.140625" style="450" hidden="1" customWidth="1"/>
    <col min="38" max="64" width="3.85546875" style="450" hidden="1" customWidth="1"/>
    <col min="65" max="16384" width="9.140625" style="450"/>
  </cols>
  <sheetData>
    <row r="1" spans="1:64" ht="20.25">
      <c r="A1" s="238"/>
      <c r="B1" s="238"/>
      <c r="C1" s="238"/>
      <c r="D1" s="238"/>
      <c r="E1" s="238"/>
      <c r="F1" s="238"/>
      <c r="G1" s="238"/>
      <c r="H1" s="238"/>
      <c r="I1" s="747">
        <f>Summary!$C$1</f>
        <v>30695</v>
      </c>
      <c r="J1" s="747"/>
      <c r="K1" s="747"/>
    </row>
    <row r="2" spans="1:64" ht="18.75">
      <c r="A2" s="748" t="str">
        <f>Summary!$A$3</f>
        <v>Principal Government Adarsh Sr. Secondary School INDERWARA (Pali)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  <c r="M2" s="451" t="s">
        <v>371</v>
      </c>
      <c r="N2" s="452">
        <v>1300</v>
      </c>
      <c r="O2" s="452">
        <v>1400</v>
      </c>
      <c r="P2" s="452">
        <v>1650</v>
      </c>
      <c r="Q2" s="452">
        <v>1800</v>
      </c>
      <c r="R2" s="452">
        <v>1850</v>
      </c>
      <c r="S2" s="452">
        <v>1900</v>
      </c>
      <c r="T2" s="452">
        <v>2000</v>
      </c>
      <c r="U2" s="452">
        <v>2100</v>
      </c>
      <c r="V2" s="452">
        <v>2400</v>
      </c>
      <c r="W2" s="452">
        <v>2800</v>
      </c>
      <c r="X2" s="452">
        <v>3200</v>
      </c>
      <c r="Y2" s="452">
        <v>3600</v>
      </c>
      <c r="Z2" s="452">
        <v>4200</v>
      </c>
      <c r="AA2" s="452">
        <v>4800</v>
      </c>
      <c r="AB2" s="452">
        <v>5400</v>
      </c>
      <c r="AC2" s="452">
        <v>6000</v>
      </c>
      <c r="AD2" s="452">
        <v>6600</v>
      </c>
      <c r="AE2" s="452">
        <v>6800</v>
      </c>
      <c r="AF2" s="452">
        <v>7200</v>
      </c>
      <c r="AG2" s="452">
        <v>7600</v>
      </c>
      <c r="AH2" s="452">
        <v>8200</v>
      </c>
      <c r="AI2" s="452">
        <v>8700</v>
      </c>
      <c r="AJ2" s="452">
        <v>8900</v>
      </c>
      <c r="AK2" s="452">
        <v>10000</v>
      </c>
    </row>
    <row r="3" spans="1:64" ht="15.75">
      <c r="A3" s="749" t="s">
        <v>492</v>
      </c>
      <c r="B3" s="749"/>
      <c r="C3" s="749"/>
      <c r="D3" s="749"/>
      <c r="E3" s="749"/>
      <c r="F3" s="749"/>
      <c r="G3" s="749"/>
      <c r="H3" s="749"/>
      <c r="I3" s="749"/>
      <c r="J3" s="749"/>
      <c r="K3" s="749"/>
      <c r="M3" s="451" t="s">
        <v>493</v>
      </c>
      <c r="N3" s="453">
        <v>4850</v>
      </c>
      <c r="O3" s="453">
        <v>5050</v>
      </c>
      <c r="P3" s="453">
        <v>5300</v>
      </c>
      <c r="Q3" s="453">
        <v>5600</v>
      </c>
      <c r="R3" s="453">
        <v>5900</v>
      </c>
      <c r="S3" s="453">
        <v>6100</v>
      </c>
      <c r="T3" s="453">
        <v>6400</v>
      </c>
      <c r="U3" s="453">
        <v>6750</v>
      </c>
      <c r="V3" s="453">
        <v>7900</v>
      </c>
      <c r="W3" s="453">
        <v>8950</v>
      </c>
      <c r="X3" s="453">
        <v>10000</v>
      </c>
      <c r="Y3" s="453">
        <v>11100</v>
      </c>
      <c r="Z3" s="453">
        <v>13050</v>
      </c>
      <c r="AA3" s="453">
        <v>15000</v>
      </c>
      <c r="AB3" s="453">
        <v>16800</v>
      </c>
      <c r="AC3" s="453">
        <v>18200</v>
      </c>
      <c r="AD3" s="453">
        <v>20200</v>
      </c>
      <c r="AE3" s="453">
        <v>21300</v>
      </c>
      <c r="AF3" s="453">
        <v>22600</v>
      </c>
      <c r="AG3" s="453">
        <v>23950</v>
      </c>
      <c r="AH3" s="453">
        <v>26650</v>
      </c>
      <c r="AI3" s="453">
        <v>36900</v>
      </c>
      <c r="AJ3" s="453">
        <v>38900</v>
      </c>
      <c r="AK3" s="453">
        <v>43800</v>
      </c>
      <c r="AL3" s="454" t="s">
        <v>494</v>
      </c>
      <c r="AM3" s="454" t="s">
        <v>495</v>
      </c>
      <c r="AN3" s="455" t="s">
        <v>496</v>
      </c>
      <c r="AO3" s="454" t="s">
        <v>497</v>
      </c>
      <c r="AP3" s="454" t="s">
        <v>498</v>
      </c>
      <c r="AQ3" s="454" t="s">
        <v>499</v>
      </c>
      <c r="AR3" s="454" t="s">
        <v>500</v>
      </c>
      <c r="AS3" s="454" t="s">
        <v>501</v>
      </c>
      <c r="AT3" s="454" t="s">
        <v>502</v>
      </c>
      <c r="AU3" s="454" t="s">
        <v>503</v>
      </c>
      <c r="AV3" s="454" t="s">
        <v>504</v>
      </c>
      <c r="AW3" s="455" t="s">
        <v>505</v>
      </c>
      <c r="AX3" s="454" t="s">
        <v>506</v>
      </c>
      <c r="AY3" s="454" t="s">
        <v>507</v>
      </c>
      <c r="AZ3" s="454" t="s">
        <v>508</v>
      </c>
      <c r="BA3" s="454" t="s">
        <v>509</v>
      </c>
      <c r="BB3" s="454" t="s">
        <v>510</v>
      </c>
      <c r="BC3" s="454" t="s">
        <v>511</v>
      </c>
      <c r="BD3" s="454" t="s">
        <v>512</v>
      </c>
      <c r="BE3" s="454" t="s">
        <v>513</v>
      </c>
      <c r="BF3" s="454" t="s">
        <v>514</v>
      </c>
      <c r="BG3" s="454" t="s">
        <v>515</v>
      </c>
      <c r="BH3" s="454" t="s">
        <v>516</v>
      </c>
      <c r="BI3" s="454" t="s">
        <v>517</v>
      </c>
      <c r="BJ3" s="454" t="s">
        <v>518</v>
      </c>
      <c r="BK3" s="454" t="s">
        <v>519</v>
      </c>
      <c r="BL3" s="455" t="s">
        <v>520</v>
      </c>
    </row>
    <row r="4" spans="1:64" ht="15.75">
      <c r="A4" s="749" t="s">
        <v>664</v>
      </c>
      <c r="B4" s="749"/>
      <c r="C4" s="749"/>
      <c r="D4" s="749"/>
      <c r="E4" s="749"/>
      <c r="F4" s="749"/>
      <c r="G4" s="749"/>
      <c r="H4" s="749"/>
      <c r="I4" s="749"/>
      <c r="J4" s="749"/>
      <c r="K4" s="749"/>
    </row>
    <row r="5" spans="1:64" ht="18.75">
      <c r="A5" s="748" t="s">
        <v>528</v>
      </c>
      <c r="B5" s="748"/>
      <c r="C5" s="748"/>
      <c r="D5" s="748"/>
      <c r="E5" s="748"/>
      <c r="F5" s="748"/>
      <c r="G5" s="748"/>
      <c r="H5" s="748"/>
      <c r="I5" s="748"/>
      <c r="J5" s="748"/>
      <c r="K5" s="748"/>
    </row>
    <row r="6" spans="1:64" ht="15.75" customHeight="1">
      <c r="A6" s="744" t="str">
        <f>Summary!A5</f>
        <v>BUDGET HEAD : 2202-GENERAL EDUCATION, 02-SECONDARY EDUCATION, 109-GOVT. SEC. SCHOOL, (01)-BOYS SCHOOL (STATE FUND)</v>
      </c>
      <c r="B6" s="744"/>
      <c r="C6" s="744"/>
      <c r="D6" s="744"/>
      <c r="E6" s="744"/>
      <c r="F6" s="744"/>
      <c r="G6" s="744"/>
      <c r="H6" s="744"/>
      <c r="I6" s="744"/>
      <c r="J6" s="744"/>
      <c r="K6" s="744"/>
    </row>
    <row r="7" spans="1:64" ht="63.75" customHeight="1">
      <c r="A7" s="227" t="s">
        <v>417</v>
      </c>
      <c r="B7" s="227" t="s">
        <v>522</v>
      </c>
      <c r="C7" s="227" t="s">
        <v>51</v>
      </c>
      <c r="D7" s="437" t="s">
        <v>523</v>
      </c>
      <c r="E7" s="437" t="s">
        <v>524</v>
      </c>
      <c r="F7" s="227" t="s">
        <v>525</v>
      </c>
      <c r="G7" s="227" t="s">
        <v>371</v>
      </c>
      <c r="H7" s="227" t="s">
        <v>665</v>
      </c>
      <c r="I7" s="227" t="s">
        <v>526</v>
      </c>
      <c r="J7" s="227" t="s">
        <v>666</v>
      </c>
      <c r="K7" s="227" t="s">
        <v>667</v>
      </c>
    </row>
    <row r="8" spans="1:64" ht="14.25" customHeight="1">
      <c r="A8" s="229">
        <v>1</v>
      </c>
      <c r="B8" s="229">
        <v>2</v>
      </c>
      <c r="C8" s="229">
        <v>3</v>
      </c>
      <c r="D8" s="229">
        <v>4</v>
      </c>
      <c r="E8" s="229">
        <v>5</v>
      </c>
      <c r="F8" s="229">
        <v>6</v>
      </c>
      <c r="G8" s="229">
        <v>7</v>
      </c>
      <c r="H8" s="229">
        <v>8</v>
      </c>
      <c r="I8" s="229">
        <v>10</v>
      </c>
      <c r="J8" s="229">
        <v>12</v>
      </c>
      <c r="K8" s="229">
        <v>13</v>
      </c>
    </row>
    <row r="9" spans="1:64" ht="33" customHeight="1">
      <c r="A9" s="325">
        <v>1</v>
      </c>
      <c r="B9" s="457" t="s">
        <v>529</v>
      </c>
      <c r="C9" s="63"/>
      <c r="D9" s="458"/>
      <c r="E9" s="458"/>
      <c r="F9" s="442" t="str">
        <f t="shared" ref="F9" si="0">IF(AND(G9&gt;=1300,G9&lt;=1650),"4750-7440 PB-1s",IF(AND(G9&gt;=1700,G9&lt;=2800),"5200-20200 PB-1",IF(AND(G9&gt;=3200,G9&lt;=5400),"9300-34800 PB-2",IF(AND(G9&gt;=6000,G9&lt;=8200),"15600-39100 PB-3",IF(AND(G9&gt;=8700,G9&lt;=10000),"37400-67000 PB-4",IF(G9="FIX PAY","FIX PAY",""))))))</f>
        <v/>
      </c>
      <c r="G9" s="232"/>
      <c r="H9" s="232"/>
      <c r="I9" s="229">
        <f>H9*12</f>
        <v>0</v>
      </c>
      <c r="J9" s="229">
        <f>I9</f>
        <v>0</v>
      </c>
      <c r="K9" s="229">
        <f>J9</f>
        <v>0</v>
      </c>
    </row>
    <row r="10" spans="1:64" s="456" customFormat="1" ht="33" customHeight="1">
      <c r="A10" s="325"/>
      <c r="B10" s="459" t="s">
        <v>94</v>
      </c>
      <c r="C10" s="460"/>
      <c r="D10" s="461"/>
      <c r="E10" s="461"/>
      <c r="F10" s="448"/>
      <c r="G10" s="232"/>
      <c r="H10" s="232">
        <f>SUM(H9:H9)</f>
        <v>0</v>
      </c>
      <c r="I10" s="232">
        <f>SUM(I9:I9)</f>
        <v>0</v>
      </c>
      <c r="J10" s="232">
        <f>SUM(J9:J9)</f>
        <v>0</v>
      </c>
      <c r="K10" s="232">
        <f>SUM(K9:K9)</f>
        <v>0</v>
      </c>
      <c r="AL10" s="450"/>
      <c r="AM10" s="450"/>
      <c r="AN10" s="450"/>
      <c r="AO10" s="450"/>
      <c r="AP10" s="450"/>
      <c r="AQ10" s="450"/>
      <c r="AR10" s="450"/>
      <c r="AS10" s="450"/>
      <c r="AT10" s="450"/>
      <c r="AU10" s="450"/>
      <c r="AV10" s="450"/>
      <c r="AW10" s="450"/>
      <c r="AX10" s="450"/>
      <c r="AY10" s="450"/>
      <c r="AZ10" s="450"/>
      <c r="BA10" s="450"/>
      <c r="BB10" s="450"/>
      <c r="BC10" s="450"/>
      <c r="BD10" s="450"/>
      <c r="BE10" s="450"/>
      <c r="BF10" s="450"/>
      <c r="BG10" s="450"/>
      <c r="BH10" s="450"/>
      <c r="BI10" s="450"/>
      <c r="BJ10" s="450"/>
    </row>
    <row r="11" spans="1:64">
      <c r="A11" s="238"/>
      <c r="B11" s="462"/>
      <c r="C11" s="462"/>
      <c r="D11" s="462"/>
      <c r="E11" s="462"/>
      <c r="F11" s="462"/>
      <c r="G11" s="462"/>
      <c r="H11" s="462"/>
      <c r="I11" s="238"/>
      <c r="J11" s="238"/>
      <c r="K11" s="238"/>
    </row>
    <row r="12" spans="1:64" ht="15" customHeight="1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spans="1:64" ht="18.75">
      <c r="A13" s="238"/>
      <c r="B13" s="238"/>
      <c r="C13" s="238"/>
      <c r="D13" s="238"/>
      <c r="E13" s="238"/>
      <c r="F13" s="238"/>
      <c r="G13" s="238"/>
      <c r="H13" s="238"/>
      <c r="I13" s="587" t="str">
        <f>Master!C2</f>
        <v>iz/kkukpk;Z</v>
      </c>
      <c r="J13" s="587"/>
      <c r="K13" s="587"/>
    </row>
    <row r="14" spans="1:64" ht="15" customHeight="1">
      <c r="A14" s="238"/>
      <c r="B14" s="238"/>
      <c r="C14" s="238"/>
      <c r="D14" s="238"/>
      <c r="E14" s="238"/>
      <c r="F14" s="238"/>
      <c r="G14" s="238"/>
      <c r="H14" s="238"/>
      <c r="I14" s="588" t="str">
        <f>Master!D2</f>
        <v>jktdh; vkn'kZ mPp ek/;fed fo|ky; bdygjk ¼ Mhx ½</v>
      </c>
      <c r="J14" s="588"/>
      <c r="K14" s="588"/>
    </row>
    <row r="15" spans="1:64" ht="15" customHeight="1">
      <c r="A15" s="238"/>
      <c r="B15" s="238"/>
      <c r="C15" s="238"/>
      <c r="D15" s="238"/>
      <c r="E15" s="238"/>
      <c r="F15" s="238"/>
      <c r="G15" s="238"/>
      <c r="H15" s="238"/>
      <c r="I15" s="588"/>
      <c r="J15" s="588"/>
      <c r="K15" s="588"/>
    </row>
    <row r="16" spans="1:64" ht="15" customHeight="1">
      <c r="A16" s="238"/>
      <c r="B16" s="238"/>
      <c r="C16" s="238"/>
      <c r="D16" s="238"/>
      <c r="E16" s="238"/>
      <c r="F16" s="238"/>
      <c r="G16" s="238"/>
      <c r="H16" s="238"/>
      <c r="I16" s="588"/>
      <c r="J16" s="588"/>
      <c r="K16" s="588"/>
    </row>
    <row r="17" spans="1:11">
      <c r="A17" s="462"/>
      <c r="B17" s="462"/>
      <c r="C17" s="462"/>
      <c r="D17" s="462"/>
      <c r="E17" s="462"/>
      <c r="F17" s="462"/>
      <c r="G17" s="462"/>
      <c r="H17" s="462"/>
      <c r="I17" s="462"/>
      <c r="J17" s="462"/>
      <c r="K17" s="462"/>
    </row>
  </sheetData>
  <protectedRanges>
    <protectedRange sqref="H9 H10:K10" name="Range1_3"/>
    <protectedRange sqref="G10" name="Range1_4"/>
    <protectedRange sqref="G9" name="Range1"/>
  </protectedRanges>
  <mergeCells count="8">
    <mergeCell ref="I14:K16"/>
    <mergeCell ref="A6:K6"/>
    <mergeCell ref="I1:K1"/>
    <mergeCell ref="A2:K2"/>
    <mergeCell ref="A3:K3"/>
    <mergeCell ref="A4:K4"/>
    <mergeCell ref="A5:K5"/>
    <mergeCell ref="I13:K13"/>
  </mergeCells>
  <pageMargins left="0.7" right="0.7" top="0.75" bottom="0.75" header="0.3" footer="0.3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BL16"/>
  <sheetViews>
    <sheetView workbookViewId="0">
      <selection activeCell="BN15" sqref="BN15"/>
    </sheetView>
  </sheetViews>
  <sheetFormatPr defaultRowHeight="15"/>
  <cols>
    <col min="1" max="1" width="5.7109375" style="431" customWidth="1"/>
    <col min="2" max="2" width="19" style="431" customWidth="1"/>
    <col min="3" max="5" width="16.5703125" style="431" customWidth="1"/>
    <col min="6" max="6" width="17" style="431" customWidth="1"/>
    <col min="7" max="7" width="9" style="431" bestFit="1" customWidth="1"/>
    <col min="8" max="8" width="10.85546875" style="431" bestFit="1" customWidth="1"/>
    <col min="9" max="9" width="8.28515625" style="431" customWidth="1"/>
    <col min="10" max="10" width="10.42578125" style="431" customWidth="1"/>
    <col min="11" max="11" width="10.5703125" style="431" customWidth="1"/>
    <col min="12" max="12" width="9.140625" style="431"/>
    <col min="13" max="37" width="9.140625" style="431" hidden="1" customWidth="1"/>
    <col min="38" max="64" width="3.85546875" style="431" hidden="1" customWidth="1"/>
    <col min="65" max="16384" width="9.140625" style="431"/>
  </cols>
  <sheetData>
    <row r="1" spans="1:64" ht="20.25">
      <c r="A1" s="430"/>
      <c r="B1" s="430"/>
      <c r="C1" s="430"/>
      <c r="D1" s="430"/>
      <c r="E1" s="430"/>
      <c r="F1" s="430"/>
      <c r="G1" s="430"/>
      <c r="H1" s="430"/>
      <c r="I1" s="589">
        <f>[1]Summary!$C$1</f>
        <v>14807</v>
      </c>
      <c r="J1" s="589"/>
      <c r="K1" s="589"/>
    </row>
    <row r="2" spans="1:64" ht="19.5">
      <c r="A2" s="750" t="str">
        <f>Summary!$A$3</f>
        <v>Principal Government Adarsh Sr. Secondary School INDERWARA (Pali)</v>
      </c>
      <c r="B2" s="750"/>
      <c r="C2" s="750"/>
      <c r="D2" s="750"/>
      <c r="E2" s="750"/>
      <c r="F2" s="750"/>
      <c r="G2" s="750"/>
      <c r="H2" s="750"/>
      <c r="I2" s="750"/>
      <c r="J2" s="750"/>
      <c r="K2" s="750"/>
      <c r="M2" s="432" t="s">
        <v>371</v>
      </c>
      <c r="N2" s="433">
        <v>1300</v>
      </c>
      <c r="O2" s="433">
        <v>1400</v>
      </c>
      <c r="P2" s="433">
        <v>1650</v>
      </c>
      <c r="Q2" s="433">
        <v>1800</v>
      </c>
      <c r="R2" s="433">
        <v>1850</v>
      </c>
      <c r="S2" s="433">
        <v>1900</v>
      </c>
      <c r="T2" s="433">
        <v>2000</v>
      </c>
      <c r="U2" s="433">
        <v>2100</v>
      </c>
      <c r="V2" s="433">
        <v>2400</v>
      </c>
      <c r="W2" s="433">
        <v>2800</v>
      </c>
      <c r="X2" s="433">
        <v>3200</v>
      </c>
      <c r="Y2" s="433">
        <v>3600</v>
      </c>
      <c r="Z2" s="433">
        <v>4200</v>
      </c>
      <c r="AA2" s="433">
        <v>4800</v>
      </c>
      <c r="AB2" s="433">
        <v>5400</v>
      </c>
      <c r="AC2" s="433">
        <v>6000</v>
      </c>
      <c r="AD2" s="433">
        <v>6600</v>
      </c>
      <c r="AE2" s="433">
        <v>6800</v>
      </c>
      <c r="AF2" s="433">
        <v>7200</v>
      </c>
      <c r="AG2" s="433">
        <v>7600</v>
      </c>
      <c r="AH2" s="433">
        <v>8200</v>
      </c>
      <c r="AI2" s="433">
        <v>8700</v>
      </c>
      <c r="AJ2" s="433">
        <v>8900</v>
      </c>
      <c r="AK2" s="433">
        <v>10000</v>
      </c>
    </row>
    <row r="3" spans="1:64" ht="15.75">
      <c r="A3" s="749" t="s">
        <v>492</v>
      </c>
      <c r="B3" s="749"/>
      <c r="C3" s="749"/>
      <c r="D3" s="749"/>
      <c r="E3" s="749"/>
      <c r="F3" s="749"/>
      <c r="G3" s="749"/>
      <c r="H3" s="749"/>
      <c r="I3" s="749"/>
      <c r="J3" s="749"/>
      <c r="K3" s="749"/>
      <c r="M3" s="432" t="s">
        <v>493</v>
      </c>
      <c r="N3" s="434">
        <v>4850</v>
      </c>
      <c r="O3" s="434">
        <v>5050</v>
      </c>
      <c r="P3" s="434">
        <v>5300</v>
      </c>
      <c r="Q3" s="434">
        <v>5600</v>
      </c>
      <c r="R3" s="434">
        <v>5900</v>
      </c>
      <c r="S3" s="434">
        <v>6100</v>
      </c>
      <c r="T3" s="434">
        <v>6400</v>
      </c>
      <c r="U3" s="434">
        <v>6750</v>
      </c>
      <c r="V3" s="434">
        <v>7900</v>
      </c>
      <c r="W3" s="434">
        <v>8950</v>
      </c>
      <c r="X3" s="434">
        <v>10000</v>
      </c>
      <c r="Y3" s="434">
        <v>11100</v>
      </c>
      <c r="Z3" s="434">
        <v>13050</v>
      </c>
      <c r="AA3" s="434">
        <v>15000</v>
      </c>
      <c r="AB3" s="434">
        <v>16800</v>
      </c>
      <c r="AC3" s="434">
        <v>18200</v>
      </c>
      <c r="AD3" s="434">
        <v>20200</v>
      </c>
      <c r="AE3" s="434">
        <v>21300</v>
      </c>
      <c r="AF3" s="434">
        <v>22600</v>
      </c>
      <c r="AG3" s="434">
        <v>23950</v>
      </c>
      <c r="AH3" s="434">
        <v>26650</v>
      </c>
      <c r="AI3" s="434">
        <v>36900</v>
      </c>
      <c r="AJ3" s="434">
        <v>38900</v>
      </c>
      <c r="AK3" s="434">
        <v>43800</v>
      </c>
      <c r="AL3" s="435" t="s">
        <v>494</v>
      </c>
      <c r="AM3" s="435" t="s">
        <v>495</v>
      </c>
      <c r="AN3" s="436" t="s">
        <v>496</v>
      </c>
      <c r="AO3" s="435" t="s">
        <v>497</v>
      </c>
      <c r="AP3" s="435" t="s">
        <v>498</v>
      </c>
      <c r="AQ3" s="435" t="s">
        <v>499</v>
      </c>
      <c r="AR3" s="435" t="s">
        <v>500</v>
      </c>
      <c r="AS3" s="435" t="s">
        <v>501</v>
      </c>
      <c r="AT3" s="435" t="s">
        <v>502</v>
      </c>
      <c r="AU3" s="435" t="s">
        <v>503</v>
      </c>
      <c r="AV3" s="435" t="s">
        <v>504</v>
      </c>
      <c r="AW3" s="436" t="s">
        <v>505</v>
      </c>
      <c r="AX3" s="435" t="s">
        <v>506</v>
      </c>
      <c r="AY3" s="435" t="s">
        <v>507</v>
      </c>
      <c r="AZ3" s="435" t="s">
        <v>508</v>
      </c>
      <c r="BA3" s="435" t="s">
        <v>509</v>
      </c>
      <c r="BB3" s="435" t="s">
        <v>510</v>
      </c>
      <c r="BC3" s="435" t="s">
        <v>511</v>
      </c>
      <c r="BD3" s="435" t="s">
        <v>512</v>
      </c>
      <c r="BE3" s="435" t="s">
        <v>513</v>
      </c>
      <c r="BF3" s="435" t="s">
        <v>514</v>
      </c>
      <c r="BG3" s="435" t="s">
        <v>515</v>
      </c>
      <c r="BH3" s="435" t="s">
        <v>516</v>
      </c>
      <c r="BI3" s="435" t="s">
        <v>517</v>
      </c>
      <c r="BJ3" s="435" t="s">
        <v>518</v>
      </c>
      <c r="BK3" s="435" t="s">
        <v>519</v>
      </c>
      <c r="BL3" s="436" t="s">
        <v>520</v>
      </c>
    </row>
    <row r="4" spans="1:64" ht="15.75">
      <c r="A4" s="749" t="s">
        <v>664</v>
      </c>
      <c r="B4" s="749"/>
      <c r="C4" s="749"/>
      <c r="D4" s="749"/>
      <c r="E4" s="749"/>
      <c r="F4" s="749"/>
      <c r="G4" s="749"/>
      <c r="H4" s="749"/>
      <c r="I4" s="749"/>
      <c r="J4" s="749"/>
      <c r="K4" s="749"/>
    </row>
    <row r="5" spans="1:64" ht="18.75">
      <c r="A5" s="748" t="s">
        <v>521</v>
      </c>
      <c r="B5" s="748"/>
      <c r="C5" s="748"/>
      <c r="D5" s="748"/>
      <c r="E5" s="748"/>
      <c r="F5" s="748"/>
      <c r="G5" s="748"/>
      <c r="H5" s="748"/>
      <c r="I5" s="748"/>
      <c r="J5" s="748"/>
      <c r="K5" s="748"/>
    </row>
    <row r="6" spans="1:64" ht="15.75" customHeight="1">
      <c r="A6" s="744" t="str">
        <f>[1]Summary!A5</f>
        <v>BUDGET HEAD : 2202-GENERAL EDUCATION, 02-SECONDARY EDUCATION, 109-GOVT. SEC. SCHOOL, (27)-BOYS SCHOOL (01) (STATE FUND)</v>
      </c>
      <c r="B6" s="744"/>
      <c r="C6" s="744"/>
      <c r="D6" s="744"/>
      <c r="E6" s="744"/>
      <c r="F6" s="744"/>
      <c r="G6" s="744"/>
      <c r="H6" s="744"/>
      <c r="I6" s="744"/>
      <c r="J6" s="744"/>
      <c r="K6" s="744"/>
    </row>
    <row r="7" spans="1:64" ht="63.75" customHeight="1">
      <c r="A7" s="227" t="s">
        <v>417</v>
      </c>
      <c r="B7" s="227" t="s">
        <v>522</v>
      </c>
      <c r="C7" s="227" t="s">
        <v>51</v>
      </c>
      <c r="D7" s="437" t="s">
        <v>523</v>
      </c>
      <c r="E7" s="437" t="s">
        <v>524</v>
      </c>
      <c r="F7" s="227" t="s">
        <v>525</v>
      </c>
      <c r="G7" s="227" t="s">
        <v>371</v>
      </c>
      <c r="H7" s="227" t="s">
        <v>665</v>
      </c>
      <c r="I7" s="227" t="s">
        <v>526</v>
      </c>
      <c r="J7" s="227" t="s">
        <v>666</v>
      </c>
      <c r="K7" s="227" t="s">
        <v>667</v>
      </c>
    </row>
    <row r="8" spans="1:64" ht="14.25" customHeight="1">
      <c r="A8" s="229">
        <v>1</v>
      </c>
      <c r="B8" s="229">
        <v>2</v>
      </c>
      <c r="C8" s="229">
        <v>3</v>
      </c>
      <c r="D8" s="229">
        <v>4</v>
      </c>
      <c r="E8" s="229">
        <v>5</v>
      </c>
      <c r="F8" s="229">
        <v>6</v>
      </c>
      <c r="G8" s="229">
        <v>7</v>
      </c>
      <c r="H8" s="229">
        <v>8</v>
      </c>
      <c r="I8" s="229">
        <v>10</v>
      </c>
      <c r="J8" s="229">
        <v>12</v>
      </c>
      <c r="K8" s="229">
        <v>13</v>
      </c>
    </row>
    <row r="9" spans="1:64" ht="33" customHeight="1">
      <c r="A9" s="438">
        <v>1</v>
      </c>
      <c r="B9" s="439" t="s">
        <v>527</v>
      </c>
      <c r="C9" s="440"/>
      <c r="D9" s="441" t="s">
        <v>527</v>
      </c>
      <c r="E9" s="441" t="s">
        <v>527</v>
      </c>
      <c r="F9" s="442" t="str">
        <f t="shared" ref="F9" si="0">IF(AND(G9&gt;=1300,G9&lt;=1650),"4750-7440 PB-1s",IF(AND(G9&gt;=1700,G9&lt;=2800),"5200-20200 PB-1",IF(AND(G9&gt;=3200,G9&lt;=5400),"9300-34800 PB-2",IF(AND(G9&gt;=6000,G9&lt;=8200),"15600-39100 PB-3",IF(AND(G9&gt;=8700,G9&lt;=10000),"37400-67000 PB-4",IF(G9="FIX PAY","FIX PAY",""))))))</f>
        <v/>
      </c>
      <c r="G9" s="443"/>
      <c r="H9" s="443"/>
      <c r="I9" s="444">
        <f>H9*12</f>
        <v>0</v>
      </c>
      <c r="J9" s="229">
        <f>I9</f>
        <v>0</v>
      </c>
      <c r="K9" s="229">
        <f>J9</f>
        <v>0</v>
      </c>
    </row>
    <row r="10" spans="1:64" s="449" customFormat="1" ht="33" customHeight="1">
      <c r="A10" s="438"/>
      <c r="B10" s="445" t="s">
        <v>94</v>
      </c>
      <c r="C10" s="446"/>
      <c r="D10" s="447"/>
      <c r="E10" s="447"/>
      <c r="F10" s="448"/>
      <c r="G10" s="443"/>
      <c r="H10" s="443">
        <f>SUM(H9:H9)</f>
        <v>0</v>
      </c>
      <c r="I10" s="443">
        <f>SUM(I9:I9)</f>
        <v>0</v>
      </c>
      <c r="J10" s="443">
        <f>SUM(J9:J9)</f>
        <v>0</v>
      </c>
      <c r="K10" s="443">
        <f>SUM(K9:K9)</f>
        <v>0</v>
      </c>
      <c r="AL10" s="431"/>
      <c r="AM10" s="431"/>
      <c r="AN10" s="431"/>
      <c r="AO10" s="431"/>
      <c r="AP10" s="431"/>
      <c r="AQ10" s="431"/>
      <c r="AR10" s="431"/>
      <c r="AS10" s="431"/>
      <c r="AT10" s="431"/>
      <c r="AU10" s="431"/>
      <c r="AV10" s="431"/>
      <c r="AW10" s="431"/>
      <c r="AX10" s="431"/>
      <c r="AY10" s="431"/>
      <c r="AZ10" s="431"/>
      <c r="BA10" s="431"/>
      <c r="BB10" s="431"/>
      <c r="BC10" s="431"/>
      <c r="BD10" s="431"/>
      <c r="BE10" s="431"/>
      <c r="BF10" s="431"/>
      <c r="BG10" s="431"/>
      <c r="BH10" s="431"/>
      <c r="BI10" s="431"/>
      <c r="BJ10" s="431"/>
    </row>
    <row r="11" spans="1:64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</row>
    <row r="12" spans="1:64" ht="15" customHeight="1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</row>
    <row r="13" spans="1:64" ht="18.75">
      <c r="A13" s="430"/>
      <c r="B13" s="430"/>
      <c r="C13" s="430"/>
      <c r="D13" s="430"/>
      <c r="E13" s="430"/>
      <c r="F13" s="430"/>
      <c r="G13" s="430"/>
      <c r="H13" s="430"/>
      <c r="I13" s="655" t="str">
        <f>Master!C2</f>
        <v>iz/kkukpk;Z</v>
      </c>
      <c r="J13" s="655"/>
      <c r="K13" s="655"/>
    </row>
    <row r="14" spans="1:64" ht="15" customHeight="1">
      <c r="A14" s="430"/>
      <c r="B14" s="430"/>
      <c r="C14" s="430"/>
      <c r="D14" s="430"/>
      <c r="E14" s="430"/>
      <c r="F14" s="430"/>
      <c r="G14" s="430"/>
      <c r="H14" s="430"/>
      <c r="I14" s="656" t="str">
        <f>Master!D2</f>
        <v>jktdh; vkn'kZ mPp ek/;fed fo|ky; bdygjk ¼ Mhx ½</v>
      </c>
      <c r="J14" s="656"/>
      <c r="K14" s="656"/>
    </row>
    <row r="15" spans="1:64" ht="15" customHeight="1">
      <c r="A15" s="430"/>
      <c r="B15" s="430"/>
      <c r="C15" s="430"/>
      <c r="D15" s="430"/>
      <c r="E15" s="430"/>
      <c r="F15" s="430"/>
      <c r="G15" s="430"/>
      <c r="H15" s="430"/>
      <c r="I15" s="656"/>
      <c r="J15" s="656"/>
      <c r="K15" s="656"/>
    </row>
    <row r="16" spans="1:64" ht="15" customHeight="1">
      <c r="A16" s="430"/>
      <c r="B16" s="430"/>
      <c r="C16" s="430"/>
      <c r="D16" s="430"/>
      <c r="E16" s="430"/>
      <c r="F16" s="430"/>
      <c r="G16" s="430"/>
      <c r="H16" s="430"/>
      <c r="I16" s="656"/>
      <c r="J16" s="656"/>
      <c r="K16" s="656"/>
    </row>
  </sheetData>
  <protectedRanges>
    <protectedRange sqref="I10:K10 H9:H10" name="Range1_3"/>
    <protectedRange sqref="G10" name="Range1_4"/>
    <protectedRange sqref="G9" name="Range1"/>
  </protectedRanges>
  <mergeCells count="8">
    <mergeCell ref="I14:K16"/>
    <mergeCell ref="A6:K6"/>
    <mergeCell ref="I1:K1"/>
    <mergeCell ref="A2:K2"/>
    <mergeCell ref="A3:K3"/>
    <mergeCell ref="A4:K4"/>
    <mergeCell ref="A5:K5"/>
    <mergeCell ref="I13:K13"/>
  </mergeCells>
  <dataValidations count="3">
    <dataValidation type="list" allowBlank="1" showInputMessage="1" showErrorMessage="1" errorTitle="POST" error="SELECT POST FROM LIST" promptTitle="POST ENTRY" sqref="C9">
      <formula1>"ASSISTANT,TEACHER-II,PTI II,LIBRARIAN II,LAB ASST,CLERK GRADE I,PTI  III,TEACHER-III,LIBRARIAN III,LAB ASST,CLERK GRADE II,FIELDMAN &amp; FIELD REC,LAB BOY,DRIVER,JAMADAR,PEON"</formula1>
    </dataValidation>
    <dataValidation type="list" errorStyle="information" allowBlank="1" showInputMessage="1" showErrorMessage="1" sqref="H9">
      <formula1>"4850,5050,5300,5600,5900,6100,6400,6750,7900,8950,10000,11100,13050,15000,16800,18200,20200,21300,22600,23950,26650,36900,38900,43800"</formula1>
    </dataValidation>
    <dataValidation type="list" allowBlank="1" showInputMessage="1" showErrorMessage="1" sqref="G9">
      <formula1>"FIX PAY,1300,1400,1650,1700,1750,1800,1850,1900,2000,2100,2400,2800,3200,3600,4200,4800,5400,6000,6600,6800,7200,7600,8200,8700,8900,9500,10000"</formula1>
    </dataValidation>
  </dataValidations>
  <pageMargins left="0.45" right="0.45" top="0.75" bottom="0.5" header="0.3" footer="0.3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O41"/>
  <sheetViews>
    <sheetView workbookViewId="0">
      <selection activeCell="H9" sqref="H9"/>
    </sheetView>
  </sheetViews>
  <sheetFormatPr defaultRowHeight="15"/>
  <cols>
    <col min="1" max="1" width="3.140625" style="463" customWidth="1"/>
    <col min="2" max="2" width="10.42578125" style="463" customWidth="1"/>
    <col min="3" max="3" width="5.140625" style="463" bestFit="1" customWidth="1"/>
    <col min="4" max="4" width="37.140625" style="463" customWidth="1"/>
    <col min="5" max="6" width="18.7109375" style="463" customWidth="1"/>
    <col min="7" max="7" width="9.7109375" style="99" customWidth="1"/>
    <col min="8" max="8" width="9.7109375" style="463" customWidth="1"/>
    <col min="9" max="16384" width="9.140625" style="463"/>
  </cols>
  <sheetData>
    <row r="1" spans="1:15" ht="16.5" customHeight="1">
      <c r="A1" s="471"/>
      <c r="B1" s="471"/>
      <c r="C1" s="471"/>
      <c r="D1" s="471"/>
      <c r="E1" s="761">
        <f>Summary!$C$1</f>
        <v>30695</v>
      </c>
      <c r="F1" s="761"/>
    </row>
    <row r="2" spans="1:15" ht="30" customHeight="1">
      <c r="A2" s="762" t="str">
        <f>Summary!$A$2</f>
        <v>iz/kkukpk;Z jktdh; vkn'kZ mPp ek/;fed fo|ky; bdygjk ¼ Mhx ½</v>
      </c>
      <c r="B2" s="762"/>
      <c r="C2" s="762"/>
      <c r="D2" s="762"/>
      <c r="E2" s="762"/>
      <c r="F2" s="762"/>
      <c r="H2" s="464"/>
    </row>
    <row r="3" spans="1:15" ht="16.5">
      <c r="A3" s="763" t="s">
        <v>668</v>
      </c>
      <c r="B3" s="763"/>
      <c r="C3" s="763"/>
      <c r="D3" s="763"/>
      <c r="E3" s="763"/>
      <c r="F3" s="763"/>
      <c r="H3" s="465"/>
    </row>
    <row r="4" spans="1:15" ht="15.75">
      <c r="A4" s="760" t="s">
        <v>530</v>
      </c>
      <c r="B4" s="760"/>
      <c r="C4" s="760"/>
      <c r="D4" s="760"/>
      <c r="E4" s="764" t="s">
        <v>531</v>
      </c>
      <c r="F4" s="764"/>
    </row>
    <row r="5" spans="1:15" ht="15.75">
      <c r="A5" s="760" t="s">
        <v>532</v>
      </c>
      <c r="B5" s="760"/>
      <c r="C5" s="760"/>
      <c r="D5" s="760"/>
      <c r="E5" s="472"/>
      <c r="F5" s="472"/>
      <c r="H5" s="466"/>
    </row>
    <row r="6" spans="1:15" ht="31.5">
      <c r="A6" s="752" t="s">
        <v>41</v>
      </c>
      <c r="B6" s="752"/>
      <c r="C6" s="752"/>
      <c r="D6" s="752"/>
      <c r="E6" s="473" t="s">
        <v>669</v>
      </c>
      <c r="F6" s="473" t="s">
        <v>670</v>
      </c>
      <c r="H6" s="467"/>
      <c r="I6" s="467"/>
      <c r="J6" s="467"/>
      <c r="K6" s="467"/>
      <c r="L6" s="467"/>
      <c r="M6" s="467"/>
      <c r="N6" s="467"/>
      <c r="O6" s="467"/>
    </row>
    <row r="7" spans="1:15" ht="41.1" customHeight="1">
      <c r="A7" s="753" t="s">
        <v>533</v>
      </c>
      <c r="B7" s="756" t="s">
        <v>534</v>
      </c>
      <c r="C7" s="474" t="s">
        <v>533</v>
      </c>
      <c r="D7" s="475" t="s">
        <v>535</v>
      </c>
      <c r="E7" s="468"/>
      <c r="F7" s="469"/>
      <c r="H7" s="467"/>
      <c r="I7" s="467"/>
      <c r="J7" s="467"/>
      <c r="K7" s="467"/>
      <c r="L7" s="467"/>
      <c r="M7" s="467"/>
      <c r="N7" s="467"/>
      <c r="O7" s="467"/>
    </row>
    <row r="8" spans="1:15" ht="41.1" customHeight="1">
      <c r="A8" s="754"/>
      <c r="B8" s="757"/>
      <c r="C8" s="474" t="s">
        <v>536</v>
      </c>
      <c r="D8" s="476" t="s">
        <v>537</v>
      </c>
      <c r="E8" s="469">
        <v>0</v>
      </c>
      <c r="F8" s="469">
        <v>0</v>
      </c>
      <c r="H8" s="467"/>
      <c r="I8" s="467"/>
      <c r="J8" s="467"/>
      <c r="K8" s="467"/>
      <c r="L8" s="467"/>
      <c r="M8" s="467"/>
      <c r="N8" s="467"/>
      <c r="O8" s="467"/>
    </row>
    <row r="9" spans="1:15" ht="41.1" customHeight="1">
      <c r="A9" s="755"/>
      <c r="B9" s="758"/>
      <c r="C9" s="474" t="s">
        <v>538</v>
      </c>
      <c r="D9" s="476" t="s">
        <v>537</v>
      </c>
      <c r="E9" s="469">
        <v>0</v>
      </c>
      <c r="F9" s="469">
        <v>0</v>
      </c>
      <c r="H9" s="467"/>
      <c r="I9" s="467"/>
      <c r="J9" s="467"/>
      <c r="K9" s="467"/>
      <c r="L9" s="467"/>
      <c r="M9" s="467"/>
      <c r="N9" s="467"/>
      <c r="O9" s="467"/>
    </row>
    <row r="10" spans="1:15" ht="41.1" customHeight="1">
      <c r="A10" s="759" t="s">
        <v>539</v>
      </c>
      <c r="B10" s="759"/>
      <c r="C10" s="759"/>
      <c r="D10" s="759"/>
      <c r="E10" s="470">
        <f>SUM(E7:E9)</f>
        <v>0</v>
      </c>
      <c r="F10" s="470">
        <f>SUM(F7:F9)</f>
        <v>0</v>
      </c>
      <c r="H10" s="467"/>
      <c r="I10" s="467"/>
      <c r="J10" s="467"/>
      <c r="K10" s="467"/>
      <c r="L10" s="467"/>
      <c r="M10" s="467"/>
      <c r="N10" s="467"/>
      <c r="O10" s="467"/>
    </row>
    <row r="11" spans="1:15" ht="41.1" customHeight="1">
      <c r="A11" s="753" t="s">
        <v>540</v>
      </c>
      <c r="B11" s="756" t="s">
        <v>541</v>
      </c>
      <c r="C11" s="477" t="s">
        <v>533</v>
      </c>
      <c r="D11" s="476" t="s">
        <v>542</v>
      </c>
      <c r="E11" s="469">
        <v>0</v>
      </c>
      <c r="F11" s="469">
        <v>0</v>
      </c>
      <c r="H11" s="467"/>
      <c r="I11" s="467"/>
      <c r="J11" s="467"/>
      <c r="K11" s="467"/>
      <c r="L11" s="467"/>
      <c r="M11" s="467"/>
      <c r="N11" s="467"/>
      <c r="O11" s="467"/>
    </row>
    <row r="12" spans="1:15" ht="41.1" customHeight="1">
      <c r="A12" s="754"/>
      <c r="B12" s="757"/>
      <c r="C12" s="477" t="s">
        <v>540</v>
      </c>
      <c r="D12" s="478" t="s">
        <v>543</v>
      </c>
      <c r="E12" s="469">
        <v>0</v>
      </c>
      <c r="F12" s="469">
        <v>0</v>
      </c>
      <c r="H12" s="467"/>
      <c r="I12" s="467"/>
      <c r="J12" s="467"/>
      <c r="K12" s="467"/>
      <c r="L12" s="467"/>
      <c r="M12" s="467"/>
      <c r="N12" s="467"/>
      <c r="O12" s="467"/>
    </row>
    <row r="13" spans="1:15" ht="41.1" customHeight="1">
      <c r="A13" s="755"/>
      <c r="B13" s="758"/>
      <c r="C13" s="477" t="s">
        <v>544</v>
      </c>
      <c r="D13" s="476" t="s">
        <v>545</v>
      </c>
      <c r="E13" s="469">
        <v>0</v>
      </c>
      <c r="F13" s="469">
        <v>0</v>
      </c>
      <c r="H13" s="467"/>
      <c r="I13" s="467"/>
      <c r="J13" s="467"/>
      <c r="K13" s="467"/>
      <c r="L13" s="467"/>
      <c r="M13" s="467"/>
      <c r="N13" s="467"/>
      <c r="O13" s="467"/>
    </row>
    <row r="14" spans="1:15" ht="45" customHeight="1">
      <c r="A14" s="751" t="s">
        <v>546</v>
      </c>
      <c r="B14" s="751"/>
      <c r="C14" s="751"/>
      <c r="D14" s="751"/>
      <c r="E14" s="470">
        <f>SUM(E10:E13)</f>
        <v>0</v>
      </c>
      <c r="F14" s="470">
        <f>SUM(F10:F13)</f>
        <v>0</v>
      </c>
      <c r="H14" s="467"/>
      <c r="I14" s="467"/>
      <c r="J14" s="467"/>
      <c r="K14" s="467"/>
      <c r="L14" s="467"/>
      <c r="M14" s="467"/>
      <c r="N14" s="467"/>
      <c r="O14" s="467"/>
    </row>
    <row r="15" spans="1:15">
      <c r="A15" s="479"/>
      <c r="B15" s="479"/>
      <c r="C15" s="479"/>
      <c r="D15" s="479"/>
      <c r="E15" s="479"/>
      <c r="F15" s="479"/>
      <c r="H15" s="467"/>
      <c r="I15" s="467"/>
      <c r="J15" s="467"/>
      <c r="K15" s="467"/>
      <c r="L15" s="467"/>
      <c r="M15" s="467"/>
      <c r="N15" s="467"/>
      <c r="O15" s="467"/>
    </row>
    <row r="16" spans="1:15">
      <c r="A16" s="479"/>
      <c r="B16" s="479"/>
      <c r="C16" s="479"/>
      <c r="D16" s="479"/>
      <c r="E16" s="479"/>
      <c r="F16" s="479"/>
      <c r="H16" s="467"/>
      <c r="I16" s="467"/>
      <c r="J16" s="467"/>
      <c r="K16" s="467"/>
      <c r="L16" s="467"/>
      <c r="M16" s="467"/>
      <c r="N16" s="467"/>
      <c r="O16" s="467"/>
    </row>
    <row r="17" spans="1:15">
      <c r="A17" s="479"/>
      <c r="B17" s="479"/>
      <c r="C17" s="479"/>
      <c r="D17" s="479"/>
      <c r="E17" s="479"/>
      <c r="F17" s="479"/>
      <c r="H17" s="467"/>
      <c r="I17" s="467"/>
      <c r="J17" s="467"/>
      <c r="K17" s="467"/>
      <c r="L17" s="467"/>
      <c r="M17" s="467"/>
      <c r="N17" s="467"/>
      <c r="O17" s="467"/>
    </row>
    <row r="18" spans="1:15" ht="18.75">
      <c r="A18" s="479"/>
      <c r="B18" s="479"/>
      <c r="C18" s="479"/>
      <c r="D18" s="479"/>
      <c r="E18" s="587" t="str">
        <f>Master!C2</f>
        <v>iz/kkukpk;Z</v>
      </c>
      <c r="F18" s="587"/>
      <c r="H18" s="467"/>
      <c r="I18" s="467"/>
      <c r="J18" s="467"/>
      <c r="K18" s="467"/>
      <c r="L18" s="467"/>
      <c r="M18" s="467"/>
      <c r="N18" s="467"/>
      <c r="O18" s="467"/>
    </row>
    <row r="19" spans="1:15" ht="56.25" customHeight="1">
      <c r="A19" s="479"/>
      <c r="B19" s="479"/>
      <c r="C19" s="479"/>
      <c r="D19" s="479"/>
      <c r="E19" s="588" t="str">
        <f>Master!D2</f>
        <v>jktdh; vkn'kZ mPp ek/;fed fo|ky; bdygjk ¼ Mhx ½</v>
      </c>
      <c r="F19" s="588"/>
      <c r="H19" s="467"/>
      <c r="I19" s="467"/>
      <c r="J19" s="467"/>
      <c r="K19" s="467"/>
      <c r="L19" s="467"/>
      <c r="M19" s="467"/>
      <c r="N19" s="467"/>
      <c r="O19" s="467"/>
    </row>
    <row r="20" spans="1:15">
      <c r="A20" s="467"/>
      <c r="B20" s="467"/>
      <c r="C20" s="467"/>
      <c r="D20" s="467"/>
      <c r="E20" s="467"/>
      <c r="F20" s="467"/>
      <c r="H20" s="467"/>
      <c r="I20" s="467"/>
      <c r="J20" s="467"/>
      <c r="K20" s="467"/>
      <c r="L20" s="467"/>
      <c r="M20" s="467"/>
      <c r="N20" s="467"/>
      <c r="O20" s="467"/>
    </row>
    <row r="21" spans="1:15">
      <c r="A21" s="467"/>
      <c r="B21" s="467"/>
      <c r="C21" s="467"/>
      <c r="D21" s="467"/>
      <c r="E21" s="467"/>
      <c r="F21" s="467"/>
      <c r="H21" s="467"/>
      <c r="I21" s="467"/>
      <c r="J21" s="467"/>
      <c r="K21" s="467"/>
      <c r="L21" s="467"/>
      <c r="M21" s="467"/>
      <c r="N21" s="467"/>
      <c r="O21" s="467"/>
    </row>
    <row r="22" spans="1:15">
      <c r="A22" s="467"/>
      <c r="B22" s="467"/>
      <c r="C22" s="467"/>
      <c r="D22" s="467"/>
      <c r="E22" s="467"/>
      <c r="F22" s="467"/>
      <c r="H22" s="467"/>
      <c r="I22" s="467"/>
      <c r="J22" s="467"/>
      <c r="K22" s="467"/>
      <c r="L22" s="467"/>
      <c r="M22" s="467"/>
      <c r="N22" s="467"/>
      <c r="O22" s="467"/>
    </row>
    <row r="23" spans="1:15">
      <c r="A23" s="467"/>
      <c r="B23" s="467"/>
      <c r="C23" s="467"/>
      <c r="D23" s="467"/>
      <c r="E23" s="467"/>
      <c r="F23" s="467"/>
      <c r="H23" s="467"/>
      <c r="I23" s="467"/>
      <c r="J23" s="467"/>
      <c r="K23" s="467"/>
      <c r="L23" s="467"/>
      <c r="M23" s="467"/>
      <c r="N23" s="467"/>
      <c r="O23" s="467"/>
    </row>
    <row r="24" spans="1:15">
      <c r="A24" s="467"/>
      <c r="B24" s="467"/>
      <c r="C24" s="467"/>
      <c r="D24" s="467"/>
      <c r="E24" s="467"/>
      <c r="F24" s="467"/>
      <c r="H24" s="467"/>
      <c r="I24" s="467"/>
      <c r="J24" s="467"/>
      <c r="K24" s="467"/>
      <c r="L24" s="467"/>
      <c r="M24" s="467"/>
      <c r="N24" s="467"/>
      <c r="O24" s="467"/>
    </row>
    <row r="25" spans="1:15">
      <c r="A25" s="467"/>
      <c r="B25" s="467"/>
      <c r="C25" s="467"/>
      <c r="D25" s="467"/>
      <c r="E25" s="467"/>
      <c r="F25" s="467"/>
      <c r="H25" s="467"/>
      <c r="I25" s="467"/>
      <c r="J25" s="467"/>
      <c r="K25" s="467"/>
      <c r="L25" s="467"/>
      <c r="M25" s="467"/>
      <c r="N25" s="467"/>
      <c r="O25" s="467"/>
    </row>
    <row r="26" spans="1:15">
      <c r="A26" s="467"/>
      <c r="B26" s="467"/>
      <c r="C26" s="467"/>
      <c r="D26" s="467"/>
      <c r="E26" s="467"/>
      <c r="F26" s="467"/>
      <c r="H26" s="467"/>
      <c r="I26" s="467"/>
      <c r="J26" s="467"/>
      <c r="K26" s="467"/>
      <c r="L26" s="467"/>
      <c r="M26" s="467"/>
      <c r="N26" s="467"/>
      <c r="O26" s="467"/>
    </row>
    <row r="27" spans="1:15">
      <c r="A27" s="467"/>
      <c r="B27" s="467"/>
      <c r="C27" s="467"/>
      <c r="D27" s="467"/>
      <c r="E27" s="467"/>
      <c r="F27" s="467"/>
      <c r="H27" s="467"/>
      <c r="I27" s="467"/>
      <c r="J27" s="467"/>
      <c r="K27" s="467"/>
      <c r="L27" s="467"/>
      <c r="M27" s="467"/>
      <c r="N27" s="467"/>
      <c r="O27" s="467"/>
    </row>
    <row r="28" spans="1:15">
      <c r="A28" s="467"/>
      <c r="B28" s="467"/>
      <c r="C28" s="467"/>
      <c r="D28" s="467"/>
      <c r="E28" s="467"/>
      <c r="F28" s="467"/>
      <c r="H28" s="467"/>
      <c r="I28" s="467"/>
      <c r="J28" s="467"/>
      <c r="K28" s="467"/>
      <c r="L28" s="467"/>
      <c r="M28" s="467"/>
      <c r="N28" s="467"/>
      <c r="O28" s="467"/>
    </row>
    <row r="29" spans="1:15">
      <c r="A29" s="467"/>
      <c r="B29" s="467"/>
      <c r="C29" s="467"/>
      <c r="D29" s="467"/>
      <c r="E29" s="467"/>
      <c r="F29" s="467"/>
      <c r="H29" s="467"/>
      <c r="I29" s="467"/>
      <c r="J29" s="467"/>
      <c r="K29" s="467"/>
      <c r="L29" s="467"/>
      <c r="M29" s="467"/>
      <c r="N29" s="467"/>
      <c r="O29" s="467"/>
    </row>
    <row r="30" spans="1:15">
      <c r="A30" s="467"/>
      <c r="B30" s="467"/>
      <c r="C30" s="467"/>
      <c r="D30" s="467"/>
      <c r="E30" s="467"/>
      <c r="F30" s="467"/>
      <c r="H30" s="467"/>
      <c r="I30" s="467"/>
      <c r="J30" s="467"/>
      <c r="K30" s="467"/>
      <c r="L30" s="467"/>
      <c r="M30" s="467"/>
      <c r="N30" s="467"/>
      <c r="O30" s="467"/>
    </row>
    <row r="31" spans="1:15">
      <c r="A31" s="467"/>
      <c r="B31" s="467"/>
      <c r="C31" s="467"/>
      <c r="D31" s="467"/>
      <c r="E31" s="467"/>
      <c r="F31" s="467"/>
      <c r="H31" s="467"/>
      <c r="I31" s="467"/>
      <c r="J31" s="467"/>
      <c r="K31" s="467"/>
      <c r="L31" s="467"/>
      <c r="M31" s="467"/>
      <c r="N31" s="467"/>
      <c r="O31" s="467"/>
    </row>
    <row r="32" spans="1:15">
      <c r="A32" s="467"/>
      <c r="B32" s="467"/>
      <c r="C32" s="467"/>
      <c r="D32" s="467"/>
      <c r="E32" s="467"/>
      <c r="F32" s="467"/>
      <c r="H32" s="467"/>
      <c r="I32" s="467"/>
      <c r="J32" s="467"/>
      <c r="K32" s="467"/>
      <c r="L32" s="467"/>
      <c r="M32" s="467"/>
      <c r="N32" s="467"/>
      <c r="O32" s="467"/>
    </row>
    <row r="33" spans="1:15">
      <c r="A33" s="467"/>
      <c r="B33" s="467"/>
      <c r="C33" s="467"/>
      <c r="D33" s="467"/>
      <c r="E33" s="467"/>
      <c r="F33" s="467"/>
      <c r="H33" s="467"/>
      <c r="I33" s="467"/>
      <c r="J33" s="467"/>
      <c r="K33" s="467"/>
      <c r="L33" s="467"/>
      <c r="M33" s="467"/>
      <c r="N33" s="467"/>
      <c r="O33" s="467"/>
    </row>
    <row r="34" spans="1:15">
      <c r="A34" s="467"/>
      <c r="B34" s="467"/>
      <c r="C34" s="467"/>
      <c r="D34" s="467"/>
      <c r="E34" s="467"/>
      <c r="F34" s="467"/>
      <c r="H34" s="467"/>
      <c r="I34" s="467"/>
      <c r="J34" s="467"/>
      <c r="K34" s="467"/>
      <c r="L34" s="467"/>
      <c r="M34" s="467"/>
      <c r="N34" s="467"/>
      <c r="O34" s="467"/>
    </row>
    <row r="35" spans="1:15">
      <c r="A35" s="467"/>
      <c r="B35" s="467"/>
      <c r="C35" s="467"/>
      <c r="D35" s="467"/>
      <c r="E35" s="467"/>
      <c r="F35" s="467"/>
      <c r="H35" s="467"/>
      <c r="I35" s="467"/>
      <c r="J35" s="467"/>
      <c r="K35" s="467"/>
      <c r="L35" s="467"/>
      <c r="M35" s="467"/>
      <c r="N35" s="467"/>
      <c r="O35" s="467"/>
    </row>
    <row r="36" spans="1:15">
      <c r="A36" s="467"/>
      <c r="B36" s="467"/>
      <c r="C36" s="467"/>
      <c r="D36" s="467"/>
      <c r="E36" s="467"/>
      <c r="F36" s="467"/>
      <c r="H36" s="467"/>
      <c r="I36" s="467"/>
      <c r="J36" s="467"/>
      <c r="K36" s="467"/>
      <c r="L36" s="467"/>
      <c r="M36" s="467"/>
      <c r="N36" s="467"/>
      <c r="O36" s="467"/>
    </row>
    <row r="37" spans="1:15">
      <c r="A37" s="467"/>
      <c r="B37" s="467"/>
      <c r="C37" s="467"/>
      <c r="D37" s="467"/>
      <c r="E37" s="467"/>
      <c r="F37" s="467"/>
      <c r="H37" s="467"/>
      <c r="I37" s="467"/>
      <c r="J37" s="467"/>
      <c r="K37" s="467"/>
      <c r="L37" s="467"/>
      <c r="M37" s="467"/>
      <c r="N37" s="467"/>
      <c r="O37" s="467"/>
    </row>
    <row r="38" spans="1:15">
      <c r="A38" s="467"/>
      <c r="B38" s="467"/>
      <c r="C38" s="467"/>
      <c r="D38" s="467"/>
      <c r="E38" s="467"/>
      <c r="F38" s="467"/>
      <c r="H38" s="467"/>
      <c r="I38" s="467"/>
      <c r="J38" s="467"/>
      <c r="K38" s="467"/>
      <c r="L38" s="467"/>
      <c r="M38" s="467"/>
      <c r="N38" s="467"/>
      <c r="O38" s="467"/>
    </row>
    <row r="39" spans="1:15">
      <c r="A39" s="467"/>
      <c r="B39" s="467"/>
      <c r="C39" s="467"/>
      <c r="D39" s="467"/>
      <c r="E39" s="467"/>
      <c r="F39" s="467"/>
      <c r="H39" s="467"/>
      <c r="I39" s="467"/>
      <c r="J39" s="467"/>
      <c r="K39" s="467"/>
      <c r="L39" s="467"/>
      <c r="M39" s="467"/>
      <c r="N39" s="467"/>
      <c r="O39" s="467"/>
    </row>
    <row r="40" spans="1:15">
      <c r="A40" s="467"/>
      <c r="B40" s="467"/>
      <c r="C40" s="467"/>
      <c r="D40" s="467"/>
      <c r="E40" s="467"/>
      <c r="F40" s="467"/>
      <c r="H40" s="467"/>
      <c r="I40" s="467"/>
      <c r="J40" s="467"/>
      <c r="K40" s="467"/>
      <c r="L40" s="467"/>
      <c r="M40" s="467"/>
      <c r="N40" s="467"/>
      <c r="O40" s="467"/>
    </row>
    <row r="41" spans="1:15">
      <c r="A41" s="467"/>
      <c r="B41" s="467"/>
      <c r="C41" s="467"/>
      <c r="D41" s="467"/>
      <c r="E41" s="467"/>
      <c r="F41" s="467"/>
      <c r="H41" s="467"/>
      <c r="I41" s="467"/>
      <c r="J41" s="467"/>
      <c r="K41" s="467"/>
      <c r="L41" s="467"/>
      <c r="M41" s="467"/>
      <c r="N41" s="467"/>
      <c r="O41" s="467"/>
    </row>
  </sheetData>
  <mergeCells count="15">
    <mergeCell ref="A5:D5"/>
    <mergeCell ref="E1:F1"/>
    <mergeCell ref="A2:F2"/>
    <mergeCell ref="A3:F3"/>
    <mergeCell ref="A4:D4"/>
    <mergeCell ref="E4:F4"/>
    <mergeCell ref="A14:D14"/>
    <mergeCell ref="E18:F18"/>
    <mergeCell ref="E19:F19"/>
    <mergeCell ref="A6:D6"/>
    <mergeCell ref="A7:A9"/>
    <mergeCell ref="B7:B9"/>
    <mergeCell ref="A10:D10"/>
    <mergeCell ref="A11:A13"/>
    <mergeCell ref="B11:B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9"/>
  <sheetViews>
    <sheetView topLeftCell="A4" workbookViewId="0">
      <selection activeCell="A3" sqref="A3:I3"/>
    </sheetView>
  </sheetViews>
  <sheetFormatPr defaultRowHeight="15"/>
  <cols>
    <col min="1" max="1" width="11.140625" customWidth="1"/>
    <col min="2" max="9" width="14.7109375" customWidth="1"/>
    <col min="11" max="12" width="9.140625" hidden="1" customWidth="1"/>
  </cols>
  <sheetData>
    <row r="1" spans="1:13" ht="20.25">
      <c r="A1" s="79"/>
      <c r="B1" s="79"/>
      <c r="C1" s="79"/>
      <c r="D1" s="79"/>
      <c r="E1" s="79"/>
      <c r="F1" s="79"/>
      <c r="G1" s="79"/>
      <c r="H1" s="589">
        <f>Summary!$C$1</f>
        <v>30695</v>
      </c>
      <c r="I1" s="589"/>
    </row>
    <row r="2" spans="1:13" ht="20.25">
      <c r="A2" s="590" t="str">
        <f>Summary!$A$2</f>
        <v>iz/kkukpk;Z jktdh; vkn'kZ mPp ek/;fed fo|ky; bdygjk ¼ Mhx ½</v>
      </c>
      <c r="B2" s="590"/>
      <c r="C2" s="590"/>
      <c r="D2" s="590"/>
      <c r="E2" s="590"/>
      <c r="F2" s="590"/>
      <c r="G2" s="590"/>
      <c r="H2" s="590"/>
      <c r="I2" s="590"/>
    </row>
    <row r="3" spans="1:13" ht="20.25">
      <c r="A3" s="590" t="s">
        <v>341</v>
      </c>
      <c r="B3" s="590"/>
      <c r="C3" s="590"/>
      <c r="D3" s="590"/>
      <c r="E3" s="590"/>
      <c r="F3" s="590"/>
      <c r="G3" s="590"/>
      <c r="H3" s="590"/>
      <c r="I3" s="590"/>
    </row>
    <row r="4" spans="1:13" ht="21" thickBot="1">
      <c r="A4" s="591" t="s">
        <v>646</v>
      </c>
      <c r="B4" s="591"/>
      <c r="C4" s="591"/>
      <c r="D4" s="591"/>
      <c r="E4" s="591"/>
      <c r="F4" s="591"/>
      <c r="G4" s="591"/>
      <c r="H4" s="591"/>
      <c r="I4" s="591"/>
    </row>
    <row r="5" spans="1:13" ht="20.25">
      <c r="A5" s="592" t="s">
        <v>41</v>
      </c>
      <c r="B5" s="594" t="s">
        <v>346</v>
      </c>
      <c r="C5" s="595"/>
      <c r="D5" s="595"/>
      <c r="E5" s="596"/>
      <c r="F5" s="594" t="s">
        <v>345</v>
      </c>
      <c r="G5" s="595"/>
      <c r="H5" s="595"/>
      <c r="I5" s="596"/>
    </row>
    <row r="6" spans="1:13" ht="18.75" customHeight="1">
      <c r="A6" s="593"/>
      <c r="B6" s="597" t="s">
        <v>630</v>
      </c>
      <c r="C6" s="585"/>
      <c r="D6" s="585" t="s">
        <v>647</v>
      </c>
      <c r="E6" s="586"/>
      <c r="F6" s="597" t="s">
        <v>630</v>
      </c>
      <c r="G6" s="585"/>
      <c r="H6" s="585" t="s">
        <v>647</v>
      </c>
      <c r="I6" s="586"/>
    </row>
    <row r="7" spans="1:13" ht="20.25">
      <c r="A7" s="593"/>
      <c r="B7" s="164" t="s">
        <v>342</v>
      </c>
      <c r="C7" s="165" t="s">
        <v>45</v>
      </c>
      <c r="D7" s="165" t="s">
        <v>342</v>
      </c>
      <c r="E7" s="166" t="s">
        <v>45</v>
      </c>
      <c r="F7" s="164" t="s">
        <v>342</v>
      </c>
      <c r="G7" s="165" t="s">
        <v>45</v>
      </c>
      <c r="H7" s="165" t="s">
        <v>342</v>
      </c>
      <c r="I7" s="166" t="s">
        <v>45</v>
      </c>
      <c r="K7" s="159" t="s">
        <v>343</v>
      </c>
      <c r="L7" s="159" t="s">
        <v>344</v>
      </c>
    </row>
    <row r="8" spans="1:13" ht="39" customHeight="1">
      <c r="A8" s="167" t="s">
        <v>46</v>
      </c>
      <c r="B8" s="273">
        <f>Master!B49</f>
        <v>97</v>
      </c>
      <c r="C8" s="274">
        <f>B8*10</f>
        <v>970</v>
      </c>
      <c r="D8" s="275">
        <f>Master!G49</f>
        <v>102</v>
      </c>
      <c r="E8" s="276">
        <f>D8*10</f>
        <v>1020</v>
      </c>
      <c r="F8" s="273">
        <f>Master!D49</f>
        <v>2</v>
      </c>
      <c r="G8" s="274">
        <f>F8*5</f>
        <v>10</v>
      </c>
      <c r="H8" s="275">
        <v>50</v>
      </c>
      <c r="I8" s="276">
        <f>H8*5</f>
        <v>250</v>
      </c>
      <c r="K8" s="159">
        <f>C8+G8</f>
        <v>980</v>
      </c>
      <c r="L8" s="159">
        <f>E8+I8</f>
        <v>1270</v>
      </c>
    </row>
    <row r="9" spans="1:13" ht="39" customHeight="1">
      <c r="A9" s="167" t="s">
        <v>47</v>
      </c>
      <c r="B9" s="273">
        <f>Master!B50</f>
        <v>10</v>
      </c>
      <c r="C9" s="274">
        <f>B9*10</f>
        <v>100</v>
      </c>
      <c r="D9" s="275">
        <f>Master!G50</f>
        <v>11</v>
      </c>
      <c r="E9" s="276">
        <f>D9*10</f>
        <v>110</v>
      </c>
      <c r="F9" s="273">
        <f>Master!D50</f>
        <v>13</v>
      </c>
      <c r="G9" s="274">
        <f>F9*5</f>
        <v>65</v>
      </c>
      <c r="H9" s="275">
        <f>Master!I50</f>
        <v>16</v>
      </c>
      <c r="I9" s="276">
        <f>H9*5</f>
        <v>80</v>
      </c>
      <c r="K9" s="159">
        <f>C9+G9</f>
        <v>165</v>
      </c>
      <c r="L9" s="159">
        <f>E9+I9</f>
        <v>190</v>
      </c>
    </row>
    <row r="10" spans="1:13" ht="39" customHeight="1">
      <c r="A10" s="167" t="s">
        <v>48</v>
      </c>
      <c r="B10" s="273">
        <f>Master!B51</f>
        <v>7</v>
      </c>
      <c r="C10" s="274">
        <f>B10*10</f>
        <v>70</v>
      </c>
      <c r="D10" s="275">
        <f>Master!G51</f>
        <v>4</v>
      </c>
      <c r="E10" s="276">
        <f>D10*10</f>
        <v>40</v>
      </c>
      <c r="F10" s="273">
        <f>Master!D51</f>
        <v>0</v>
      </c>
      <c r="G10" s="274">
        <f>F10*5</f>
        <v>0</v>
      </c>
      <c r="H10" s="275">
        <f>Master!I51</f>
        <v>3</v>
      </c>
      <c r="I10" s="276">
        <f>H10*5</f>
        <v>15</v>
      </c>
      <c r="K10" s="159">
        <f>C10+G10</f>
        <v>70</v>
      </c>
      <c r="L10" s="159">
        <f>E10+I10</f>
        <v>55</v>
      </c>
    </row>
    <row r="11" spans="1:13" ht="39" customHeight="1">
      <c r="A11" s="167" t="s">
        <v>49</v>
      </c>
      <c r="B11" s="273">
        <f>Master!B52</f>
        <v>5</v>
      </c>
      <c r="C11" s="274">
        <f>B11*10</f>
        <v>50</v>
      </c>
      <c r="D11" s="275">
        <f>Master!G52</f>
        <v>6</v>
      </c>
      <c r="E11" s="276">
        <f>D11*10</f>
        <v>60</v>
      </c>
      <c r="F11" s="273">
        <f>Master!D52</f>
        <v>87</v>
      </c>
      <c r="G11" s="274">
        <f>F11*5</f>
        <v>435</v>
      </c>
      <c r="H11" s="275">
        <f>Master!I52</f>
        <v>90</v>
      </c>
      <c r="I11" s="276">
        <f>H11*5</f>
        <v>450</v>
      </c>
      <c r="K11" s="159">
        <f>C11+G11</f>
        <v>485</v>
      </c>
      <c r="L11" s="159">
        <f>E11+I11</f>
        <v>510</v>
      </c>
    </row>
    <row r="12" spans="1:13" ht="39" customHeight="1" thickBot="1">
      <c r="A12" s="168" t="s">
        <v>40</v>
      </c>
      <c r="B12" s="277">
        <f t="shared" ref="B12:I12" si="0">SUM(B8:B11)</f>
        <v>119</v>
      </c>
      <c r="C12" s="278">
        <f t="shared" si="0"/>
        <v>1190</v>
      </c>
      <c r="D12" s="278">
        <f t="shared" si="0"/>
        <v>123</v>
      </c>
      <c r="E12" s="279">
        <f t="shared" si="0"/>
        <v>1230</v>
      </c>
      <c r="F12" s="277">
        <f t="shared" si="0"/>
        <v>102</v>
      </c>
      <c r="G12" s="278">
        <f t="shared" si="0"/>
        <v>510</v>
      </c>
      <c r="H12" s="278">
        <f t="shared" si="0"/>
        <v>159</v>
      </c>
      <c r="I12" s="279">
        <f t="shared" si="0"/>
        <v>795</v>
      </c>
      <c r="J12" s="160"/>
      <c r="K12" s="161">
        <f>SUM(K8:K11)</f>
        <v>1700</v>
      </c>
      <c r="L12" s="161">
        <f>SUM(L8:L11)</f>
        <v>2025</v>
      </c>
      <c r="M12" s="160"/>
    </row>
    <row r="13" spans="1:13">
      <c r="A13" s="162"/>
      <c r="B13" s="162"/>
      <c r="C13" s="162"/>
      <c r="D13" s="162"/>
      <c r="E13" s="162"/>
      <c r="F13" s="162"/>
      <c r="G13" s="162"/>
      <c r="H13" s="162"/>
      <c r="I13" s="162"/>
    </row>
    <row r="14" spans="1:13">
      <c r="A14" s="162"/>
      <c r="B14" s="162"/>
      <c r="C14" s="162"/>
      <c r="D14" s="162"/>
      <c r="E14" s="162"/>
      <c r="F14" s="162"/>
      <c r="G14" s="162"/>
      <c r="H14" s="162"/>
      <c r="I14" s="162"/>
    </row>
    <row r="15" spans="1:13">
      <c r="A15" s="162"/>
      <c r="B15" s="162"/>
      <c r="C15" s="162"/>
      <c r="D15" s="162"/>
      <c r="E15" s="162"/>
      <c r="F15" s="162"/>
      <c r="G15" s="162"/>
      <c r="H15" s="162"/>
      <c r="I15" s="162"/>
    </row>
    <row r="16" spans="1:13" ht="18.75">
      <c r="A16" s="162"/>
      <c r="B16" s="162"/>
      <c r="C16" s="162"/>
      <c r="D16" s="162"/>
      <c r="E16" s="162"/>
      <c r="F16" s="162"/>
      <c r="G16" s="162"/>
      <c r="H16" s="587" t="str">
        <f>Master!C2</f>
        <v>iz/kkukpk;Z</v>
      </c>
      <c r="I16" s="587"/>
    </row>
    <row r="17" spans="1:9" ht="15" customHeight="1">
      <c r="A17" s="162"/>
      <c r="B17" s="162"/>
      <c r="C17" s="162"/>
      <c r="D17" s="162"/>
      <c r="E17" s="162"/>
      <c r="F17" s="162"/>
      <c r="G17" s="162"/>
      <c r="H17" s="588" t="str">
        <f>Master!D2</f>
        <v>jktdh; vkn'kZ mPp ek/;fed fo|ky; bdygjk ¼ Mhx ½</v>
      </c>
      <c r="I17" s="588"/>
    </row>
    <row r="18" spans="1:9" ht="15" customHeight="1">
      <c r="A18" s="162"/>
      <c r="B18" s="162"/>
      <c r="C18" s="162"/>
      <c r="D18" s="162"/>
      <c r="E18" s="162"/>
      <c r="F18" s="162"/>
      <c r="G18" s="163"/>
      <c r="H18" s="588"/>
      <c r="I18" s="588"/>
    </row>
    <row r="19" spans="1:9" ht="15" customHeight="1">
      <c r="A19" s="162"/>
      <c r="B19" s="162"/>
      <c r="C19" s="162"/>
      <c r="D19" s="162"/>
      <c r="E19" s="162"/>
      <c r="F19" s="162"/>
      <c r="G19" s="163"/>
      <c r="H19" s="588"/>
      <c r="I19" s="588"/>
    </row>
  </sheetData>
  <mergeCells count="13">
    <mergeCell ref="H6:I6"/>
    <mergeCell ref="H16:I16"/>
    <mergeCell ref="H17:I19"/>
    <mergeCell ref="H1:I1"/>
    <mergeCell ref="A2:I2"/>
    <mergeCell ref="A3:I3"/>
    <mergeCell ref="A4:I4"/>
    <mergeCell ref="A5:A7"/>
    <mergeCell ref="B5:E5"/>
    <mergeCell ref="F5:I5"/>
    <mergeCell ref="B6:C6"/>
    <mergeCell ref="D6:E6"/>
    <mergeCell ref="F6:G6"/>
  </mergeCells>
  <pageMargins left="0.95" right="0.7" top="0.75" bottom="0.75" header="0.3" footer="0.3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L39"/>
  <sheetViews>
    <sheetView workbookViewId="0">
      <selection activeCell="C27" sqref="C27"/>
    </sheetView>
  </sheetViews>
  <sheetFormatPr defaultRowHeight="15"/>
  <cols>
    <col min="2" max="2" width="49" customWidth="1"/>
    <col min="3" max="3" width="27.85546875" customWidth="1"/>
  </cols>
  <sheetData>
    <row r="1" spans="1:12" ht="27.75">
      <c r="A1" s="765" t="str">
        <f>Summary!A2</f>
        <v>iz/kkukpk;Z jktdh; vkn'kZ mPp ek/;fed fo|ky; bdygjk ¼ Mhx ½</v>
      </c>
      <c r="B1" s="765"/>
      <c r="C1" s="765"/>
      <c r="D1" s="480"/>
      <c r="E1" s="480"/>
      <c r="F1" s="480"/>
      <c r="G1" s="480"/>
      <c r="H1" s="480"/>
      <c r="I1" s="480"/>
      <c r="J1" s="480"/>
      <c r="K1" s="480"/>
      <c r="L1" s="480"/>
    </row>
    <row r="2" spans="1:12" ht="18.75">
      <c r="A2" s="769" t="s">
        <v>671</v>
      </c>
      <c r="B2" s="769"/>
      <c r="C2" s="482" t="s">
        <v>547</v>
      </c>
      <c r="D2" s="480"/>
      <c r="E2" s="480"/>
      <c r="F2" s="480"/>
      <c r="H2" s="480"/>
      <c r="I2" s="480"/>
      <c r="J2" s="480"/>
      <c r="K2" s="480"/>
      <c r="L2" s="480"/>
    </row>
    <row r="3" spans="1:12" ht="18.75">
      <c r="A3" s="481"/>
      <c r="B3" s="481"/>
      <c r="C3" s="481"/>
      <c r="D3" s="480"/>
      <c r="E3" s="480"/>
      <c r="F3" s="480"/>
      <c r="G3" s="480"/>
      <c r="H3" s="480"/>
      <c r="I3" s="480"/>
      <c r="J3" s="480"/>
      <c r="K3" s="480"/>
      <c r="L3" s="480"/>
    </row>
    <row r="4" spans="1:12" ht="18.75">
      <c r="A4" s="481" t="s">
        <v>548</v>
      </c>
      <c r="B4" s="481"/>
      <c r="C4" s="481"/>
      <c r="D4" s="480"/>
      <c r="E4" s="480"/>
      <c r="F4" s="480"/>
      <c r="G4" s="480"/>
      <c r="H4" s="480"/>
      <c r="I4" s="480"/>
      <c r="J4" s="480"/>
      <c r="K4" s="480"/>
      <c r="L4" s="480"/>
    </row>
    <row r="5" spans="1:12" ht="18.75">
      <c r="A5" s="481"/>
      <c r="B5" s="481" t="s">
        <v>549</v>
      </c>
      <c r="C5" s="79"/>
      <c r="D5" s="480"/>
      <c r="E5" s="480"/>
      <c r="F5" s="480"/>
      <c r="G5" s="480"/>
      <c r="H5" s="480"/>
      <c r="I5" s="480"/>
      <c r="J5" s="480"/>
      <c r="K5" s="480"/>
      <c r="L5" s="480"/>
    </row>
    <row r="6" spans="1:12" ht="18.75">
      <c r="A6" s="481"/>
      <c r="B6" s="481" t="s">
        <v>550</v>
      </c>
      <c r="C6" s="79"/>
      <c r="D6" s="480"/>
      <c r="E6" s="480"/>
      <c r="F6" s="480"/>
      <c r="G6" s="480"/>
      <c r="H6" s="480"/>
      <c r="I6" s="480"/>
      <c r="J6" s="480"/>
      <c r="K6" s="480"/>
      <c r="L6" s="480"/>
    </row>
    <row r="7" spans="1:12" ht="18.75">
      <c r="A7" s="481"/>
      <c r="B7" s="481" t="s">
        <v>551</v>
      </c>
      <c r="C7" s="79"/>
      <c r="D7" s="480"/>
      <c r="E7" s="480"/>
      <c r="F7" s="480"/>
      <c r="G7" s="480"/>
      <c r="H7" s="480"/>
      <c r="I7" s="480"/>
      <c r="J7" s="480"/>
      <c r="K7" s="480"/>
      <c r="L7" s="480"/>
    </row>
    <row r="8" spans="1:12" ht="18.75">
      <c r="A8" s="481"/>
      <c r="B8" s="481"/>
      <c r="C8" s="79"/>
      <c r="D8" s="480"/>
      <c r="E8" s="480"/>
      <c r="F8" s="480"/>
      <c r="G8" s="480"/>
      <c r="H8" s="480"/>
      <c r="I8" s="480"/>
      <c r="J8" s="480"/>
      <c r="K8" s="480"/>
      <c r="L8" s="480"/>
    </row>
    <row r="9" spans="1:12" ht="18.75" customHeight="1">
      <c r="A9" s="766" t="s">
        <v>552</v>
      </c>
      <c r="B9" s="767" t="s">
        <v>672</v>
      </c>
      <c r="C9" s="767"/>
      <c r="E9" s="480"/>
      <c r="F9" s="480"/>
      <c r="G9" s="480"/>
      <c r="H9" s="480"/>
      <c r="I9" s="480"/>
      <c r="J9" s="480"/>
      <c r="K9" s="480"/>
      <c r="L9" s="480"/>
    </row>
    <row r="10" spans="1:12" ht="18.75">
      <c r="A10" s="766"/>
      <c r="B10" s="767"/>
      <c r="C10" s="767"/>
      <c r="D10" s="480"/>
      <c r="E10" s="480"/>
      <c r="F10" s="480"/>
      <c r="G10" s="480"/>
      <c r="H10" s="480"/>
      <c r="I10" s="480"/>
      <c r="J10" s="480"/>
      <c r="K10" s="480"/>
      <c r="L10" s="480"/>
    </row>
    <row r="11" spans="1:12" ht="18.75">
      <c r="A11" s="483"/>
      <c r="B11" s="484"/>
      <c r="C11" s="79"/>
      <c r="D11" s="480"/>
      <c r="E11" s="480"/>
      <c r="F11" s="480"/>
      <c r="G11" s="480"/>
      <c r="H11" s="480"/>
      <c r="I11" s="480"/>
      <c r="J11" s="480"/>
      <c r="K11" s="480"/>
      <c r="L11" s="480"/>
    </row>
    <row r="12" spans="1:12" ht="18.75">
      <c r="A12" s="481" t="s">
        <v>553</v>
      </c>
      <c r="B12" s="481"/>
      <c r="C12" s="481"/>
      <c r="D12" s="480"/>
      <c r="E12" s="480"/>
      <c r="F12" s="480"/>
      <c r="G12" s="480"/>
      <c r="H12" s="480"/>
      <c r="I12" s="480"/>
      <c r="J12" s="480"/>
      <c r="K12" s="480"/>
      <c r="L12" s="480"/>
    </row>
    <row r="13" spans="1:12" ht="18.75">
      <c r="A13" s="768" t="s">
        <v>673</v>
      </c>
      <c r="B13" s="768"/>
      <c r="C13" s="768"/>
      <c r="D13" s="480"/>
      <c r="E13" s="480"/>
      <c r="F13" s="480"/>
      <c r="G13" s="480"/>
      <c r="H13" s="480"/>
      <c r="I13" s="480"/>
      <c r="J13" s="480"/>
      <c r="K13" s="480"/>
      <c r="L13" s="480"/>
    </row>
    <row r="14" spans="1:12" ht="18.75">
      <c r="A14" s="768"/>
      <c r="B14" s="768"/>
      <c r="C14" s="768"/>
      <c r="D14" s="480"/>
      <c r="E14" s="480"/>
      <c r="F14" s="480"/>
      <c r="G14" s="480"/>
      <c r="H14" s="480"/>
      <c r="I14" s="480"/>
      <c r="J14" s="480"/>
      <c r="K14" s="480"/>
      <c r="L14" s="480"/>
    </row>
    <row r="15" spans="1:12" ht="18.75">
      <c r="A15" s="768"/>
      <c r="B15" s="768"/>
      <c r="C15" s="768"/>
      <c r="D15" s="480"/>
      <c r="E15" s="480"/>
      <c r="F15" s="480"/>
      <c r="G15" s="480"/>
      <c r="H15" s="480"/>
      <c r="I15" s="480"/>
      <c r="J15" s="480"/>
      <c r="K15" s="480"/>
      <c r="L15" s="480"/>
    </row>
    <row r="16" spans="1:12" ht="18.75">
      <c r="A16" s="481" t="s">
        <v>554</v>
      </c>
      <c r="B16" s="481"/>
      <c r="C16" s="481"/>
      <c r="D16" s="480"/>
      <c r="E16" s="480"/>
      <c r="F16" s="480"/>
      <c r="G16" s="480"/>
      <c r="H16" s="480"/>
      <c r="I16" s="480"/>
      <c r="J16" s="480"/>
      <c r="K16" s="480"/>
      <c r="L16" s="480"/>
    </row>
    <row r="17" spans="1:12" ht="18.75">
      <c r="A17" s="481" t="s">
        <v>555</v>
      </c>
      <c r="B17" s="481"/>
      <c r="C17" s="481"/>
      <c r="D17" s="480"/>
      <c r="E17" s="480"/>
      <c r="F17" s="480"/>
      <c r="G17" s="480"/>
      <c r="H17" s="480"/>
      <c r="I17" s="480"/>
      <c r="J17" s="480"/>
      <c r="K17" s="480"/>
      <c r="L17" s="480"/>
    </row>
    <row r="18" spans="1:12" ht="18.75">
      <c r="A18" s="481" t="s">
        <v>556</v>
      </c>
      <c r="B18" s="481"/>
      <c r="C18" s="481"/>
      <c r="D18" s="480"/>
      <c r="E18" s="480"/>
      <c r="F18" s="480"/>
      <c r="G18" s="480"/>
      <c r="H18" s="480"/>
      <c r="I18" s="480"/>
      <c r="J18" s="480"/>
      <c r="K18" s="480"/>
      <c r="L18" s="480"/>
    </row>
    <row r="19" spans="1:12" ht="18.75">
      <c r="A19" s="481" t="s">
        <v>557</v>
      </c>
      <c r="B19" s="481"/>
      <c r="C19" s="481"/>
      <c r="D19" s="480"/>
      <c r="E19" s="480"/>
      <c r="F19" s="480"/>
      <c r="G19" s="480"/>
      <c r="H19" s="480"/>
      <c r="I19" s="480"/>
      <c r="J19" s="480"/>
      <c r="K19" s="480"/>
      <c r="L19" s="480"/>
    </row>
    <row r="20" spans="1:12" ht="18.75">
      <c r="A20" s="481" t="s">
        <v>558</v>
      </c>
      <c r="B20" s="481"/>
      <c r="C20" s="481"/>
      <c r="D20" s="480"/>
      <c r="E20" s="480"/>
      <c r="F20" s="480"/>
      <c r="G20" s="480"/>
      <c r="H20" s="480"/>
      <c r="I20" s="480"/>
      <c r="J20" s="480"/>
      <c r="K20" s="480"/>
      <c r="L20" s="480"/>
    </row>
    <row r="21" spans="1:12" ht="18.75">
      <c r="A21" s="481" t="s">
        <v>559</v>
      </c>
      <c r="B21" s="481"/>
      <c r="C21" s="481"/>
      <c r="D21" s="480"/>
      <c r="E21" s="480"/>
      <c r="F21" s="480"/>
      <c r="G21" s="480"/>
      <c r="H21" s="480"/>
      <c r="I21" s="480"/>
      <c r="J21" s="480"/>
      <c r="K21" s="480"/>
      <c r="L21" s="480"/>
    </row>
    <row r="22" spans="1:12" ht="18.75">
      <c r="A22" s="481" t="s">
        <v>560</v>
      </c>
      <c r="B22" s="481"/>
      <c r="C22" s="481"/>
      <c r="D22" s="480"/>
      <c r="E22" s="480"/>
      <c r="F22" s="480"/>
      <c r="G22" s="480"/>
      <c r="H22" s="480"/>
      <c r="I22" s="480"/>
      <c r="J22" s="480"/>
      <c r="K22" s="480"/>
      <c r="L22" s="480"/>
    </row>
    <row r="23" spans="1:12" ht="18.75">
      <c r="A23" s="481" t="s">
        <v>561</v>
      </c>
      <c r="B23" s="481"/>
      <c r="C23" s="481"/>
      <c r="D23" s="480"/>
      <c r="E23" s="480"/>
      <c r="F23" s="480"/>
      <c r="G23" s="480"/>
      <c r="H23" s="480"/>
      <c r="I23" s="480"/>
      <c r="J23" s="480"/>
      <c r="K23" s="480"/>
      <c r="L23" s="480"/>
    </row>
    <row r="24" spans="1:12" ht="18.75">
      <c r="A24" s="481" t="s">
        <v>674</v>
      </c>
      <c r="B24" s="481"/>
      <c r="C24" s="481"/>
      <c r="D24" s="480"/>
      <c r="E24" s="480"/>
      <c r="F24" s="480"/>
      <c r="G24" s="480"/>
      <c r="H24" s="480"/>
      <c r="I24" s="480"/>
      <c r="J24" s="480"/>
      <c r="K24" s="480"/>
      <c r="L24" s="480"/>
    </row>
    <row r="25" spans="1:12" ht="18.75">
      <c r="A25" s="481" t="s">
        <v>562</v>
      </c>
      <c r="B25" s="481"/>
      <c r="C25" s="481"/>
      <c r="D25" s="480"/>
      <c r="E25" s="480"/>
      <c r="F25" s="480"/>
      <c r="G25" s="480"/>
      <c r="H25" s="480"/>
      <c r="I25" s="480"/>
      <c r="J25" s="480"/>
      <c r="K25" s="480"/>
      <c r="L25" s="480"/>
    </row>
    <row r="26" spans="1:12" ht="18.75">
      <c r="A26" s="481" t="s">
        <v>563</v>
      </c>
      <c r="B26" s="481"/>
      <c r="C26" s="481"/>
      <c r="D26" s="480"/>
      <c r="E26" s="480"/>
      <c r="F26" s="480"/>
      <c r="G26" s="480"/>
      <c r="H26" s="480"/>
      <c r="I26" s="480"/>
      <c r="J26" s="480"/>
      <c r="K26" s="480"/>
      <c r="L26" s="480"/>
    </row>
    <row r="27" spans="1:12" ht="18.75">
      <c r="A27" s="481"/>
      <c r="B27" s="481"/>
      <c r="C27" s="481"/>
      <c r="D27" s="480"/>
      <c r="E27" s="480"/>
      <c r="F27" s="480"/>
      <c r="G27" s="480"/>
      <c r="H27" s="480"/>
      <c r="I27" s="480"/>
      <c r="J27" s="480"/>
      <c r="K27" s="480"/>
      <c r="L27" s="480"/>
    </row>
    <row r="28" spans="1:12" ht="18.75">
      <c r="A28" s="481"/>
      <c r="B28" s="481"/>
      <c r="C28" s="345" t="str">
        <f>Master!C2</f>
        <v>iz/kkukpk;Z</v>
      </c>
      <c r="D28" s="480"/>
      <c r="E28" s="480"/>
      <c r="F28" s="480"/>
      <c r="G28" s="480"/>
      <c r="H28" s="480"/>
      <c r="I28" s="480"/>
      <c r="J28" s="480"/>
      <c r="K28" s="480"/>
      <c r="L28" s="480"/>
    </row>
    <row r="29" spans="1:12" ht="37.5">
      <c r="A29" s="481"/>
      <c r="B29" s="481"/>
      <c r="C29" s="344" t="str">
        <f>Master!D2</f>
        <v>jktdh; vkn'kZ mPp ek/;fed fo|ky; bdygjk ¼ Mhx ½</v>
      </c>
      <c r="D29" s="480"/>
      <c r="E29" s="480"/>
      <c r="F29" s="480"/>
      <c r="G29" s="480"/>
      <c r="H29" s="480"/>
      <c r="I29" s="480"/>
      <c r="J29" s="480"/>
      <c r="K29" s="480"/>
      <c r="L29" s="480"/>
    </row>
    <row r="30" spans="1:12" ht="18.75">
      <c r="A30" s="480"/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</row>
    <row r="31" spans="1:12" ht="18.75">
      <c r="A31" s="480"/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</row>
    <row r="32" spans="1:12" ht="18.75">
      <c r="A32" s="480"/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</row>
    <row r="33" spans="1:12" ht="18.75">
      <c r="A33" s="480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</row>
    <row r="34" spans="1:12" ht="18.75">
      <c r="A34" s="480"/>
      <c r="B34" s="480"/>
      <c r="C34" s="480"/>
      <c r="D34" s="480"/>
      <c r="E34" s="480"/>
      <c r="F34" s="480"/>
      <c r="G34" s="480"/>
      <c r="H34" s="480"/>
      <c r="I34" s="480"/>
      <c r="J34" s="480"/>
      <c r="K34" s="480"/>
      <c r="L34" s="480"/>
    </row>
    <row r="35" spans="1:12" ht="18.75">
      <c r="A35" s="480"/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</row>
    <row r="36" spans="1:12" ht="18.75">
      <c r="A36" s="480"/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</row>
    <row r="37" spans="1:12" ht="18.75">
      <c r="A37" s="480"/>
      <c r="B37" s="480"/>
      <c r="C37" s="480"/>
      <c r="D37" s="480"/>
      <c r="E37" s="480"/>
      <c r="F37" s="480"/>
      <c r="G37" s="480"/>
      <c r="H37" s="480"/>
      <c r="I37" s="480"/>
      <c r="J37" s="480"/>
      <c r="K37" s="480"/>
      <c r="L37" s="480"/>
    </row>
    <row r="38" spans="1:12" ht="18.75">
      <c r="A38" s="480"/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</row>
    <row r="39" spans="1:12" ht="18.75">
      <c r="A39" s="480"/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</row>
  </sheetData>
  <mergeCells count="5">
    <mergeCell ref="A1:C1"/>
    <mergeCell ref="A9:A10"/>
    <mergeCell ref="B9:C10"/>
    <mergeCell ref="A13:C15"/>
    <mergeCell ref="A2:B2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K16"/>
  <sheetViews>
    <sheetView workbookViewId="0">
      <selection activeCell="N9" sqref="N9"/>
    </sheetView>
  </sheetViews>
  <sheetFormatPr defaultRowHeight="15"/>
  <cols>
    <col min="1" max="1" width="6.5703125" style="106" customWidth="1"/>
    <col min="2" max="2" width="12.7109375" style="106" customWidth="1"/>
    <col min="3" max="3" width="10.85546875" style="106" customWidth="1"/>
    <col min="4" max="4" width="12.28515625" style="106" customWidth="1"/>
    <col min="5" max="5" width="14.28515625" style="106" customWidth="1"/>
    <col min="6" max="6" width="12" style="101" customWidth="1"/>
    <col min="7" max="7" width="9.140625" style="101"/>
    <col min="8" max="8" width="13.42578125" style="101" customWidth="1"/>
    <col min="9" max="9" width="12.28515625" style="101" customWidth="1"/>
    <col min="10" max="10" width="14.5703125" style="101" customWidth="1"/>
    <col min="11" max="11" width="14.28515625" style="101" customWidth="1"/>
    <col min="12" max="16384" width="9.140625" style="101"/>
  </cols>
  <sheetData>
    <row r="1" spans="1:11" ht="15.75">
      <c r="A1" s="324"/>
      <c r="B1" s="324"/>
      <c r="C1" s="324"/>
      <c r="D1" s="684"/>
      <c r="E1" s="684"/>
      <c r="F1" s="241"/>
      <c r="I1" s="684">
        <f>Summary!$C$1</f>
        <v>30695</v>
      </c>
      <c r="J1" s="684"/>
      <c r="K1" s="684"/>
    </row>
    <row r="2" spans="1:11" ht="20.25">
      <c r="A2" s="738" t="str">
        <f>Summary!$A$2</f>
        <v>iz/kkukpk;Z jktdh; vkn'kZ mPp ek/;fed fo|ky; bdygjk ¼ Mhx ½</v>
      </c>
      <c r="B2" s="738"/>
      <c r="C2" s="738"/>
      <c r="D2" s="738"/>
      <c r="E2" s="738"/>
      <c r="F2" s="738"/>
      <c r="G2" s="738"/>
      <c r="H2" s="738"/>
      <c r="I2" s="738"/>
      <c r="J2" s="738"/>
      <c r="K2" s="738"/>
    </row>
    <row r="3" spans="1:11" ht="20.25">
      <c r="A3" s="738" t="s">
        <v>564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</row>
    <row r="4" spans="1:11" ht="16.5" customHeight="1">
      <c r="A4" s="670" t="str">
        <f>Summary!A5</f>
        <v>BUDGET HEAD : 2202-GENERAL EDUCATION, 02-SECONDARY EDUCATION, 109-GOVT. SEC. SCHOOL, (01)-BOYS SCHOOL (STATE FUND)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</row>
    <row r="5" spans="1:11" ht="56.25">
      <c r="A5" s="487" t="s">
        <v>565</v>
      </c>
      <c r="B5" s="487" t="s">
        <v>566</v>
      </c>
      <c r="C5" s="487" t="s">
        <v>491</v>
      </c>
      <c r="D5" s="487" t="s">
        <v>446</v>
      </c>
      <c r="E5" s="487" t="s">
        <v>45</v>
      </c>
      <c r="F5" s="487" t="s">
        <v>567</v>
      </c>
      <c r="G5" s="487" t="s">
        <v>446</v>
      </c>
      <c r="H5" s="487" t="s">
        <v>45</v>
      </c>
      <c r="I5" s="487" t="s">
        <v>489</v>
      </c>
      <c r="J5" s="487" t="s">
        <v>675</v>
      </c>
      <c r="K5" s="487" t="s">
        <v>568</v>
      </c>
    </row>
    <row r="6" spans="1:11" ht="15.75">
      <c r="A6" s="491">
        <v>1</v>
      </c>
      <c r="B6" s="491">
        <v>4</v>
      </c>
      <c r="C6" s="491">
        <v>5</v>
      </c>
      <c r="D6" s="491">
        <v>6</v>
      </c>
      <c r="E6" s="491" t="s">
        <v>569</v>
      </c>
      <c r="F6" s="491">
        <v>8</v>
      </c>
      <c r="G6" s="491">
        <v>9</v>
      </c>
      <c r="H6" s="491" t="s">
        <v>570</v>
      </c>
      <c r="I6" s="491" t="s">
        <v>571</v>
      </c>
      <c r="J6" s="491">
        <v>12</v>
      </c>
      <c r="K6" s="491" t="s">
        <v>572</v>
      </c>
    </row>
    <row r="7" spans="1:11" ht="64.5" customHeight="1">
      <c r="A7" s="494">
        <v>1</v>
      </c>
      <c r="B7" s="495">
        <v>0</v>
      </c>
      <c r="C7" s="495">
        <v>0</v>
      </c>
      <c r="D7" s="494">
        <v>1950</v>
      </c>
      <c r="E7" s="494">
        <f>C7*D7</f>
        <v>0</v>
      </c>
      <c r="F7" s="495">
        <v>0</v>
      </c>
      <c r="G7" s="494">
        <v>1650</v>
      </c>
      <c r="H7" s="494">
        <f>F7*G7</f>
        <v>0</v>
      </c>
      <c r="I7" s="494">
        <f>E7+H7</f>
        <v>0</v>
      </c>
      <c r="J7" s="495">
        <v>0</v>
      </c>
      <c r="K7" s="494">
        <v>0</v>
      </c>
    </row>
    <row r="8" spans="1:11">
      <c r="A8" s="324"/>
      <c r="B8" s="324"/>
      <c r="C8" s="324"/>
      <c r="D8" s="324"/>
      <c r="E8" s="324"/>
      <c r="F8" s="241"/>
    </row>
    <row r="9" spans="1:11">
      <c r="A9" s="324"/>
      <c r="B9" s="324"/>
      <c r="C9" s="324"/>
      <c r="D9" s="324"/>
      <c r="E9" s="324"/>
      <c r="F9" s="241"/>
    </row>
    <row r="10" spans="1:11" ht="18.75">
      <c r="A10" s="324"/>
      <c r="B10" s="324"/>
      <c r="C10" s="324"/>
      <c r="D10" s="587"/>
      <c r="E10" s="587"/>
      <c r="F10" s="340"/>
      <c r="I10" s="587" t="str">
        <f>Master!C2</f>
        <v>iz/kkukpk;Z</v>
      </c>
      <c r="J10" s="587"/>
      <c r="K10" s="587"/>
    </row>
    <row r="11" spans="1:11" ht="15" customHeight="1">
      <c r="A11" s="324"/>
      <c r="B11" s="324"/>
      <c r="C11" s="425"/>
      <c r="D11" s="588"/>
      <c r="E11" s="588"/>
      <c r="F11" s="341"/>
      <c r="I11" s="588" t="str">
        <f>Master!D2</f>
        <v>jktdh; vkn'kZ mPp ek/;fed fo|ky; bdygjk ¼ Mhx ½</v>
      </c>
      <c r="J11" s="588"/>
      <c r="K11" s="588"/>
    </row>
    <row r="12" spans="1:11" ht="15" customHeight="1">
      <c r="A12" s="324"/>
      <c r="B12" s="324"/>
      <c r="C12" s="341"/>
      <c r="D12" s="588"/>
      <c r="E12" s="588"/>
      <c r="F12" s="341"/>
      <c r="I12" s="588"/>
      <c r="J12" s="588"/>
      <c r="K12" s="588"/>
    </row>
    <row r="13" spans="1:11" ht="15" customHeight="1">
      <c r="A13" s="324"/>
      <c r="B13" s="324"/>
      <c r="C13" s="341"/>
      <c r="D13" s="588"/>
      <c r="E13" s="588"/>
      <c r="F13" s="341"/>
      <c r="I13" s="588"/>
      <c r="J13" s="588"/>
      <c r="K13" s="588"/>
    </row>
    <row r="14" spans="1:11" ht="15" customHeight="1">
      <c r="A14" s="425"/>
      <c r="B14" s="425"/>
      <c r="C14" s="425"/>
      <c r="D14" s="341"/>
      <c r="E14" s="341"/>
      <c r="F14" s="341"/>
    </row>
    <row r="15" spans="1:11">
      <c r="A15" s="425"/>
      <c r="B15" s="425"/>
      <c r="C15" s="425"/>
      <c r="D15" s="425"/>
      <c r="E15" s="425"/>
      <c r="F15" s="241"/>
    </row>
    <row r="16" spans="1:11">
      <c r="A16" s="425"/>
      <c r="B16" s="425"/>
      <c r="C16" s="425"/>
      <c r="D16" s="425"/>
      <c r="E16" s="425"/>
      <c r="F16" s="241"/>
    </row>
  </sheetData>
  <mergeCells count="9">
    <mergeCell ref="D11:E13"/>
    <mergeCell ref="I1:K1"/>
    <mergeCell ref="A2:K2"/>
    <mergeCell ref="A3:K3"/>
    <mergeCell ref="A4:K4"/>
    <mergeCell ref="I11:K13"/>
    <mergeCell ref="I10:K10"/>
    <mergeCell ref="D1:E1"/>
    <mergeCell ref="D10:E10"/>
  </mergeCells>
  <pageMargins left="0.7" right="0.7" top="0.75" bottom="0.75" header="0.3" footer="0.3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K46"/>
  <sheetViews>
    <sheetView topLeftCell="A4" workbookViewId="0">
      <selection activeCell="J10" sqref="J10"/>
    </sheetView>
  </sheetViews>
  <sheetFormatPr defaultRowHeight="15"/>
  <cols>
    <col min="1" max="1" width="5.42578125" style="106" customWidth="1"/>
    <col min="2" max="2" width="17" style="106" customWidth="1"/>
    <col min="3" max="3" width="16.5703125" style="106" customWidth="1"/>
    <col min="4" max="4" width="14.85546875" style="106" customWidth="1"/>
    <col min="5" max="5" width="15.7109375" style="106" customWidth="1"/>
    <col min="6" max="6" width="15.5703125" style="101" customWidth="1"/>
    <col min="7" max="7" width="17.85546875" style="101" customWidth="1"/>
    <col min="8" max="8" width="17" style="101" customWidth="1"/>
    <col min="9" max="9" width="17.5703125" style="101" customWidth="1"/>
    <col min="10" max="10" width="14.5703125" style="101" customWidth="1"/>
    <col min="11" max="11" width="14.28515625" style="101" customWidth="1"/>
    <col min="12" max="16384" width="9.140625" style="101"/>
  </cols>
  <sheetData>
    <row r="1" spans="1:11" ht="15.75">
      <c r="A1" s="324"/>
      <c r="B1" s="324"/>
      <c r="C1" s="324"/>
      <c r="D1" s="684"/>
      <c r="E1" s="684"/>
      <c r="F1" s="241"/>
      <c r="H1" s="684">
        <f>Summary!$C$1</f>
        <v>30695</v>
      </c>
      <c r="I1" s="684"/>
      <c r="J1" s="485"/>
      <c r="K1" s="485"/>
    </row>
    <row r="2" spans="1:11" ht="20.25">
      <c r="A2" s="738" t="str">
        <f>Summary!$A$2</f>
        <v>iz/kkukpk;Z jktdh; vkn'kZ mPp ek/;fed fo|ky; bdygjk ¼ Mhx ½</v>
      </c>
      <c r="B2" s="738"/>
      <c r="C2" s="738"/>
      <c r="D2" s="738"/>
      <c r="E2" s="738"/>
      <c r="F2" s="738"/>
      <c r="G2" s="738"/>
      <c r="H2" s="738"/>
      <c r="I2" s="738"/>
      <c r="J2" s="497"/>
      <c r="K2" s="497"/>
    </row>
    <row r="3" spans="1:11" ht="20.25">
      <c r="A3" s="738" t="s">
        <v>581</v>
      </c>
      <c r="B3" s="738"/>
      <c r="C3" s="738"/>
      <c r="D3" s="738"/>
      <c r="E3" s="738"/>
      <c r="F3" s="738"/>
      <c r="G3" s="738"/>
      <c r="H3" s="738"/>
      <c r="I3" s="738"/>
      <c r="J3" s="497"/>
      <c r="K3" s="497"/>
    </row>
    <row r="4" spans="1:11" ht="16.5" customHeight="1">
      <c r="A4" s="771" t="str">
        <f>Summary!A5</f>
        <v>BUDGET HEAD : 2202-GENERAL EDUCATION, 02-SECONDARY EDUCATION, 109-GOVT. SEC. SCHOOL, (01)-BOYS SCHOOL (STATE FUND)</v>
      </c>
      <c r="B4" s="771"/>
      <c r="C4" s="771"/>
      <c r="D4" s="771"/>
      <c r="E4" s="771"/>
      <c r="F4" s="771"/>
      <c r="G4" s="771"/>
      <c r="H4" s="771"/>
      <c r="I4" s="771"/>
      <c r="J4" s="498"/>
      <c r="K4" s="498"/>
    </row>
    <row r="5" spans="1:11" ht="18.75">
      <c r="A5" s="770" t="s">
        <v>676</v>
      </c>
      <c r="B5" s="770"/>
      <c r="C5" s="770"/>
      <c r="D5" s="770"/>
      <c r="E5" s="770"/>
      <c r="F5" s="770"/>
      <c r="G5" s="770"/>
      <c r="H5" s="770"/>
      <c r="I5" s="770"/>
    </row>
    <row r="6" spans="1:11" ht="32.25" customHeight="1">
      <c r="A6" s="499" t="s">
        <v>579</v>
      </c>
      <c r="B6" s="499" t="s">
        <v>573</v>
      </c>
      <c r="C6" s="499" t="s">
        <v>574</v>
      </c>
      <c r="D6" s="499" t="s">
        <v>577</v>
      </c>
      <c r="E6" s="499" t="s">
        <v>578</v>
      </c>
      <c r="F6" s="499" t="s">
        <v>580</v>
      </c>
      <c r="G6" s="499" t="s">
        <v>575</v>
      </c>
      <c r="H6" s="499" t="s">
        <v>409</v>
      </c>
      <c r="I6" s="500" t="s">
        <v>576</v>
      </c>
    </row>
    <row r="7" spans="1:11">
      <c r="A7" s="490">
        <v>1</v>
      </c>
      <c r="B7" s="493" t="str">
        <f>IF(AND(Master!B59=""),"",Master!B59)</f>
        <v>feJhyky</v>
      </c>
      <c r="C7" s="490" t="str">
        <f>IF(AND(Master!C59=""),"",Master!C59)</f>
        <v>PRINCIPAL</v>
      </c>
      <c r="D7" s="490"/>
      <c r="E7" s="490"/>
      <c r="F7" s="490"/>
      <c r="G7" s="490"/>
      <c r="H7" s="492">
        <f>IF(AND(B7=""),"",D7+E7+F7+G7)</f>
        <v>0</v>
      </c>
      <c r="I7" s="490"/>
    </row>
    <row r="8" spans="1:11">
      <c r="A8" s="490">
        <v>2</v>
      </c>
      <c r="B8" s="493" t="str">
        <f>IF(AND(Master!B60=""),"",Master!B60)</f>
        <v>lkaojey ;kno</v>
      </c>
      <c r="C8" s="490" t="str">
        <f>IF(AND(Master!C60=""),"",Master!C60)</f>
        <v>TEACHER-I</v>
      </c>
      <c r="D8" s="490"/>
      <c r="E8" s="490"/>
      <c r="F8" s="490"/>
      <c r="G8" s="490"/>
      <c r="H8" s="492">
        <f t="shared" ref="H8:H37" si="0">IF(AND(B8=""),"",D8+E8+F8+G8)</f>
        <v>0</v>
      </c>
      <c r="I8" s="490"/>
    </row>
    <row r="9" spans="1:11">
      <c r="A9" s="490">
        <v>3</v>
      </c>
      <c r="B9" s="493" t="str">
        <f>IF(AND(Master!B61=""),"",Master!B61)</f>
        <v>dY;k.kfalg</v>
      </c>
      <c r="C9" s="490" t="str">
        <f>IF(AND(Master!C61=""),"",Master!C61)</f>
        <v>TEACHER-I</v>
      </c>
      <c r="D9" s="490"/>
      <c r="E9" s="490"/>
      <c r="F9" s="490"/>
      <c r="G9" s="490"/>
      <c r="H9" s="492">
        <f t="shared" si="0"/>
        <v>0</v>
      </c>
      <c r="I9" s="490"/>
    </row>
    <row r="10" spans="1:11">
      <c r="A10" s="490">
        <v>4</v>
      </c>
      <c r="B10" s="493" t="str">
        <f>IF(AND(Master!B62=""),"",Master!B62)</f>
        <v>Hkxokuflag</v>
      </c>
      <c r="C10" s="490" t="str">
        <f>IF(AND(Master!C62=""),"",Master!C62)</f>
        <v>TEACHER-I</v>
      </c>
      <c r="D10" s="490"/>
      <c r="E10" s="490"/>
      <c r="F10" s="490"/>
      <c r="G10" s="490"/>
      <c r="H10" s="492">
        <f t="shared" si="0"/>
        <v>0</v>
      </c>
      <c r="I10" s="490"/>
    </row>
    <row r="11" spans="1:11">
      <c r="A11" s="490">
        <v>5</v>
      </c>
      <c r="B11" s="493" t="str">
        <f>IF(AND(Master!B63=""),"",Master!B63)</f>
        <v>ghjkyky tkV</v>
      </c>
      <c r="C11" s="490" t="str">
        <f>IF(AND(Master!C63=""),"",Master!C63)</f>
        <v>TEACHER-I</v>
      </c>
      <c r="D11" s="490"/>
      <c r="E11" s="490"/>
      <c r="F11" s="490"/>
      <c r="G11" s="490"/>
      <c r="H11" s="492">
        <f t="shared" si="0"/>
        <v>0</v>
      </c>
      <c r="I11" s="490"/>
    </row>
    <row r="12" spans="1:11">
      <c r="A12" s="490">
        <v>6</v>
      </c>
      <c r="B12" s="493" t="str">
        <f>IF(AND(Master!B64=""),"",Master!B64)</f>
        <v>egsUnz iVsy</v>
      </c>
      <c r="C12" s="490" t="str">
        <f>IF(AND(Master!C64=""),"",Master!C64)</f>
        <v>TEACHER-II</v>
      </c>
      <c r="D12" s="490"/>
      <c r="E12" s="490"/>
      <c r="F12" s="490"/>
      <c r="G12" s="490"/>
      <c r="H12" s="492">
        <f t="shared" si="0"/>
        <v>0</v>
      </c>
      <c r="I12" s="490"/>
    </row>
    <row r="13" spans="1:11">
      <c r="A13" s="490">
        <v>7</v>
      </c>
      <c r="B13" s="493" t="str">
        <f>IF(AND(Master!B65=""),"",Master!B65)</f>
        <v>ekaxhyky jkaxh</v>
      </c>
      <c r="C13" s="490" t="str">
        <f>IF(AND(Master!C65=""),"",Master!C65)</f>
        <v>TEACHER-II</v>
      </c>
      <c r="D13" s="490"/>
      <c r="E13" s="490"/>
      <c r="F13" s="490"/>
      <c r="G13" s="490"/>
      <c r="H13" s="492">
        <f t="shared" si="0"/>
        <v>0</v>
      </c>
      <c r="I13" s="490"/>
    </row>
    <row r="14" spans="1:11">
      <c r="A14" s="490">
        <v>8</v>
      </c>
      <c r="B14" s="493" t="str">
        <f>IF(AND(Master!B66=""),"",Master!B66)</f>
        <v>lqeu dqekjh lSuh</v>
      </c>
      <c r="C14" s="490" t="str">
        <f>IF(AND(Master!C66=""),"",Master!C66)</f>
        <v>TEACHER-II</v>
      </c>
      <c r="D14" s="490"/>
      <c r="E14" s="490"/>
      <c r="F14" s="490"/>
      <c r="G14" s="490"/>
      <c r="H14" s="492">
        <f t="shared" si="0"/>
        <v>0</v>
      </c>
      <c r="I14" s="490"/>
    </row>
    <row r="15" spans="1:11">
      <c r="A15" s="490">
        <v>9</v>
      </c>
      <c r="B15" s="493" t="str">
        <f>IF(AND(Master!B67=""),"",Master!B67)</f>
        <v>lqjs'k dqekj vknjk</v>
      </c>
      <c r="C15" s="490" t="str">
        <f>IF(AND(Master!C67=""),"",Master!C67)</f>
        <v>TEACHER-III</v>
      </c>
      <c r="D15" s="490"/>
      <c r="E15" s="490"/>
      <c r="F15" s="490"/>
      <c r="G15" s="490"/>
      <c r="H15" s="492">
        <f t="shared" si="0"/>
        <v>0</v>
      </c>
      <c r="I15" s="490"/>
    </row>
    <row r="16" spans="1:11">
      <c r="A16" s="490">
        <v>10</v>
      </c>
      <c r="B16" s="493" t="str">
        <f>IF(AND(Master!B68=""),"",Master!B68)</f>
        <v>vtquflag</v>
      </c>
      <c r="C16" s="490" t="str">
        <f>IF(AND(Master!C68=""),"",Master!C68)</f>
        <v>TEACHER-III</v>
      </c>
      <c r="D16" s="490"/>
      <c r="E16" s="490"/>
      <c r="F16" s="490"/>
      <c r="G16" s="490"/>
      <c r="H16" s="492">
        <f t="shared" si="0"/>
        <v>0</v>
      </c>
      <c r="I16" s="490"/>
    </row>
    <row r="17" spans="1:9">
      <c r="A17" s="490">
        <v>11</v>
      </c>
      <c r="B17" s="493" t="str">
        <f>IF(AND(Master!B69=""),"",Master!B69)</f>
        <v>Hkykjke</v>
      </c>
      <c r="C17" s="490" t="str">
        <f>IF(AND(Master!C69=""),"",Master!C69)</f>
        <v>TEACHER-III</v>
      </c>
      <c r="D17" s="490"/>
      <c r="E17" s="490"/>
      <c r="F17" s="490"/>
      <c r="G17" s="490"/>
      <c r="H17" s="492">
        <f t="shared" si="0"/>
        <v>0</v>
      </c>
      <c r="I17" s="490"/>
    </row>
    <row r="18" spans="1:9">
      <c r="A18" s="490">
        <v>12</v>
      </c>
      <c r="B18" s="493" t="str">
        <f>IF(AND(Master!B70=""),"",Master!B70)</f>
        <v>yfyrdqekj</v>
      </c>
      <c r="C18" s="490" t="str">
        <f>IF(AND(Master!C70=""),"",Master!C70)</f>
        <v>TEACHER-III</v>
      </c>
      <c r="D18" s="490"/>
      <c r="E18" s="490"/>
      <c r="F18" s="490"/>
      <c r="G18" s="490"/>
      <c r="H18" s="492">
        <f t="shared" si="0"/>
        <v>0</v>
      </c>
      <c r="I18" s="490"/>
    </row>
    <row r="19" spans="1:9">
      <c r="A19" s="490">
        <v>13</v>
      </c>
      <c r="B19" s="493" t="str">
        <f>IF(AND(Master!B71=""),"",Master!B71)</f>
        <v>_f"kds'k</v>
      </c>
      <c r="C19" s="490" t="str">
        <f>IF(AND(Master!C71=""),"",Master!C71)</f>
        <v>TEACHER-III</v>
      </c>
      <c r="D19" s="490"/>
      <c r="E19" s="490"/>
      <c r="F19" s="490"/>
      <c r="G19" s="490"/>
      <c r="H19" s="492">
        <f t="shared" si="0"/>
        <v>0</v>
      </c>
      <c r="I19" s="490"/>
    </row>
    <row r="20" spans="1:9">
      <c r="A20" s="490">
        <v>14</v>
      </c>
      <c r="B20" s="493" t="str">
        <f>IF(AND(Master!B72=""),"",Master!B72)</f>
        <v>eunhiflag</v>
      </c>
      <c r="C20" s="490" t="str">
        <f>IF(AND(Master!C72=""),"",Master!C72)</f>
        <v>PTI  III</v>
      </c>
      <c r="D20" s="490"/>
      <c r="E20" s="490"/>
      <c r="F20" s="490"/>
      <c r="G20" s="490"/>
      <c r="H20" s="492">
        <f t="shared" si="0"/>
        <v>0</v>
      </c>
      <c r="I20" s="490"/>
    </row>
    <row r="21" spans="1:9">
      <c r="A21" s="490">
        <v>15</v>
      </c>
      <c r="B21" s="493" t="str">
        <f>IF(AND(Master!B73=""),"",Master!B73)</f>
        <v>vt;dqekj</v>
      </c>
      <c r="C21" s="490" t="str">
        <f>IF(AND(Master!C73=""),"",Master!C73)</f>
        <v>PEON</v>
      </c>
      <c r="D21" s="490"/>
      <c r="E21" s="490"/>
      <c r="F21" s="490"/>
      <c r="G21" s="490"/>
      <c r="H21" s="492">
        <f t="shared" si="0"/>
        <v>0</v>
      </c>
      <c r="I21" s="490"/>
    </row>
    <row r="22" spans="1:9">
      <c r="A22" s="490">
        <v>16</v>
      </c>
      <c r="B22" s="493" t="str">
        <f>IF(AND(Master!B74=""),"",Master!B74)</f>
        <v>in fjDr</v>
      </c>
      <c r="C22" s="490" t="str">
        <f>IF(AND(Master!C74=""),"",Master!C74)</f>
        <v>LAB BOY</v>
      </c>
      <c r="D22" s="490"/>
      <c r="E22" s="490"/>
      <c r="F22" s="490"/>
      <c r="G22" s="490"/>
      <c r="H22" s="492">
        <f t="shared" si="0"/>
        <v>0</v>
      </c>
      <c r="I22" s="490"/>
    </row>
    <row r="23" spans="1:9">
      <c r="A23" s="490">
        <v>17</v>
      </c>
      <c r="B23" s="493" t="str">
        <f>IF(AND(Master!B75=""),"",Master!B75)</f>
        <v>in fjDr</v>
      </c>
      <c r="C23" s="490" t="str">
        <f>IF(AND(Master!C75=""),"",Master!C75)</f>
        <v>CLERK GRADE II</v>
      </c>
      <c r="D23" s="490"/>
      <c r="E23" s="490"/>
      <c r="F23" s="490"/>
      <c r="G23" s="490"/>
      <c r="H23" s="492">
        <f t="shared" si="0"/>
        <v>0</v>
      </c>
      <c r="I23" s="490"/>
    </row>
    <row r="24" spans="1:9">
      <c r="A24" s="490">
        <v>18</v>
      </c>
      <c r="B24" s="493" t="str">
        <f>IF(AND(Master!B76=""),"",Master!B76)</f>
        <v/>
      </c>
      <c r="C24" s="490" t="str">
        <f>IF(AND(Master!C76=""),"",Master!C76)</f>
        <v/>
      </c>
      <c r="D24" s="490"/>
      <c r="E24" s="490"/>
      <c r="F24" s="490"/>
      <c r="G24" s="490"/>
      <c r="H24" s="492" t="str">
        <f t="shared" si="0"/>
        <v/>
      </c>
      <c r="I24" s="490"/>
    </row>
    <row r="25" spans="1:9">
      <c r="A25" s="490">
        <v>19</v>
      </c>
      <c r="B25" s="493" t="str">
        <f>IF(AND(Master!B77=""),"",Master!B77)</f>
        <v/>
      </c>
      <c r="C25" s="490" t="str">
        <f>IF(AND(Master!C77=""),"",Master!C77)</f>
        <v/>
      </c>
      <c r="D25" s="490"/>
      <c r="E25" s="490"/>
      <c r="F25" s="490"/>
      <c r="G25" s="490"/>
      <c r="H25" s="492" t="str">
        <f t="shared" si="0"/>
        <v/>
      </c>
      <c r="I25" s="490"/>
    </row>
    <row r="26" spans="1:9">
      <c r="A26" s="490">
        <v>20</v>
      </c>
      <c r="B26" s="493" t="str">
        <f>IF(AND(Master!B78=""),"",Master!B78)</f>
        <v/>
      </c>
      <c r="C26" s="490" t="str">
        <f>IF(AND(Master!C78=""),"",Master!C78)</f>
        <v/>
      </c>
      <c r="D26" s="490"/>
      <c r="E26" s="490"/>
      <c r="F26" s="490"/>
      <c r="G26" s="490"/>
      <c r="H26" s="492" t="str">
        <f t="shared" si="0"/>
        <v/>
      </c>
      <c r="I26" s="490"/>
    </row>
    <row r="27" spans="1:9">
      <c r="A27" s="490">
        <v>21</v>
      </c>
      <c r="B27" s="493" t="str">
        <f>IF(AND(Master!B79=""),"",Master!B79)</f>
        <v/>
      </c>
      <c r="C27" s="490" t="str">
        <f>IF(AND(Master!C79=""),"",Master!C79)</f>
        <v/>
      </c>
      <c r="D27" s="490"/>
      <c r="E27" s="490"/>
      <c r="F27" s="490"/>
      <c r="G27" s="490"/>
      <c r="H27" s="492" t="str">
        <f t="shared" si="0"/>
        <v/>
      </c>
      <c r="I27" s="490"/>
    </row>
    <row r="28" spans="1:9">
      <c r="A28" s="490">
        <v>22</v>
      </c>
      <c r="B28" s="493" t="str">
        <f>IF(AND(Master!B80=""),"",Master!B80)</f>
        <v/>
      </c>
      <c r="C28" s="490" t="str">
        <f>IF(AND(Master!C80=""),"",Master!C80)</f>
        <v/>
      </c>
      <c r="D28" s="490"/>
      <c r="E28" s="490"/>
      <c r="F28" s="490"/>
      <c r="G28" s="490"/>
      <c r="H28" s="492" t="str">
        <f t="shared" si="0"/>
        <v/>
      </c>
      <c r="I28" s="490"/>
    </row>
    <row r="29" spans="1:9">
      <c r="A29" s="490">
        <v>23</v>
      </c>
      <c r="B29" s="493" t="str">
        <f>IF(AND(Master!B81=""),"",Master!B81)</f>
        <v/>
      </c>
      <c r="C29" s="490" t="str">
        <f>IF(AND(Master!C81=""),"",Master!C81)</f>
        <v/>
      </c>
      <c r="D29" s="490"/>
      <c r="E29" s="490"/>
      <c r="F29" s="490"/>
      <c r="G29" s="490"/>
      <c r="H29" s="492" t="str">
        <f t="shared" si="0"/>
        <v/>
      </c>
      <c r="I29" s="490"/>
    </row>
    <row r="30" spans="1:9">
      <c r="A30" s="490">
        <v>24</v>
      </c>
      <c r="B30" s="493" t="str">
        <f>IF(AND(Master!B82=""),"",Master!B82)</f>
        <v/>
      </c>
      <c r="C30" s="490" t="str">
        <f>IF(AND(Master!C82=""),"",Master!C82)</f>
        <v/>
      </c>
      <c r="D30" s="490"/>
      <c r="E30" s="490"/>
      <c r="F30" s="490"/>
      <c r="G30" s="490"/>
      <c r="H30" s="492" t="str">
        <f t="shared" si="0"/>
        <v/>
      </c>
      <c r="I30" s="490"/>
    </row>
    <row r="31" spans="1:9">
      <c r="A31" s="490">
        <v>25</v>
      </c>
      <c r="B31" s="493" t="str">
        <f>IF(AND(Master!B83=""),"",Master!B83)</f>
        <v/>
      </c>
      <c r="C31" s="490" t="str">
        <f>IF(AND(Master!C83=""),"",Master!C83)</f>
        <v/>
      </c>
      <c r="D31" s="490"/>
      <c r="E31" s="490"/>
      <c r="F31" s="490"/>
      <c r="G31" s="490"/>
      <c r="H31" s="492" t="str">
        <f t="shared" si="0"/>
        <v/>
      </c>
      <c r="I31" s="490"/>
    </row>
    <row r="32" spans="1:9">
      <c r="A32" s="490">
        <v>26</v>
      </c>
      <c r="B32" s="493" t="str">
        <f>IF(AND(Master!B84=""),"",Master!B84)</f>
        <v/>
      </c>
      <c r="C32" s="490" t="str">
        <f>IF(AND(Master!C84=""),"",Master!C84)</f>
        <v/>
      </c>
      <c r="D32" s="490"/>
      <c r="E32" s="490"/>
      <c r="F32" s="490"/>
      <c r="G32" s="490"/>
      <c r="H32" s="492" t="str">
        <f t="shared" si="0"/>
        <v/>
      </c>
      <c r="I32" s="490"/>
    </row>
    <row r="33" spans="1:11">
      <c r="A33" s="490">
        <v>27</v>
      </c>
      <c r="B33" s="493" t="str">
        <f>IF(AND(Master!B85=""),"",Master!B85)</f>
        <v/>
      </c>
      <c r="C33" s="490" t="str">
        <f>IF(AND(Master!C85=""),"",Master!C85)</f>
        <v/>
      </c>
      <c r="D33" s="490"/>
      <c r="E33" s="490"/>
      <c r="F33" s="490"/>
      <c r="G33" s="490"/>
      <c r="H33" s="492" t="str">
        <f t="shared" si="0"/>
        <v/>
      </c>
      <c r="I33" s="490"/>
    </row>
    <row r="34" spans="1:11">
      <c r="A34" s="490">
        <v>28</v>
      </c>
      <c r="B34" s="493" t="str">
        <f>IF(AND(Master!B86=""),"",Master!B86)</f>
        <v/>
      </c>
      <c r="C34" s="490" t="str">
        <f>IF(AND(Master!C86=""),"",Master!C86)</f>
        <v/>
      </c>
      <c r="D34" s="490"/>
      <c r="E34" s="490"/>
      <c r="F34" s="490"/>
      <c r="G34" s="490"/>
      <c r="H34" s="492" t="str">
        <f t="shared" si="0"/>
        <v/>
      </c>
      <c r="I34" s="490"/>
    </row>
    <row r="35" spans="1:11">
      <c r="A35" s="490">
        <v>29</v>
      </c>
      <c r="B35" s="493" t="str">
        <f>IF(AND(Master!B87=""),"",Master!B87)</f>
        <v/>
      </c>
      <c r="C35" s="490" t="str">
        <f>IF(AND(Master!C87=""),"",Master!C87)</f>
        <v/>
      </c>
      <c r="D35" s="490"/>
      <c r="E35" s="490"/>
      <c r="F35" s="490"/>
      <c r="G35" s="490"/>
      <c r="H35" s="492" t="str">
        <f t="shared" si="0"/>
        <v/>
      </c>
      <c r="I35" s="490"/>
    </row>
    <row r="36" spans="1:11">
      <c r="A36" s="490">
        <v>30</v>
      </c>
      <c r="B36" s="493" t="str">
        <f>IF(AND(Master!B88=""),"",Master!B88)</f>
        <v/>
      </c>
      <c r="C36" s="490" t="str">
        <f>IF(AND(Master!C88=""),"",Master!C88)</f>
        <v/>
      </c>
      <c r="D36" s="490"/>
      <c r="E36" s="490"/>
      <c r="F36" s="490"/>
      <c r="G36" s="490"/>
      <c r="H36" s="492" t="str">
        <f t="shared" si="0"/>
        <v/>
      </c>
      <c r="I36" s="490"/>
    </row>
    <row r="37" spans="1:11">
      <c r="A37" s="490">
        <v>31</v>
      </c>
      <c r="B37" s="493" t="str">
        <f>IF(AND(Master!B89=""),"",Master!B89)</f>
        <v/>
      </c>
      <c r="C37" s="490" t="str">
        <f>IF(AND(Master!C89=""),"",Master!C89)</f>
        <v/>
      </c>
      <c r="D37" s="490"/>
      <c r="E37" s="490"/>
      <c r="F37" s="490"/>
      <c r="G37" s="490"/>
      <c r="H37" s="492" t="str">
        <f t="shared" si="0"/>
        <v/>
      </c>
      <c r="I37" s="490"/>
    </row>
    <row r="38" spans="1:11">
      <c r="A38" s="324"/>
      <c r="B38" s="324"/>
      <c r="C38" s="324"/>
      <c r="D38" s="324"/>
      <c r="E38" s="324"/>
      <c r="F38" s="241"/>
    </row>
    <row r="39" spans="1:11">
      <c r="A39" s="324"/>
      <c r="B39" s="324"/>
      <c r="C39" s="324"/>
      <c r="D39" s="324"/>
      <c r="E39" s="324"/>
      <c r="F39" s="241"/>
    </row>
    <row r="40" spans="1:11" ht="18.75">
      <c r="A40" s="324"/>
      <c r="B40" s="324"/>
      <c r="C40" s="324"/>
      <c r="D40" s="415"/>
      <c r="E40" s="415"/>
      <c r="F40" s="340"/>
      <c r="H40" s="587" t="str">
        <f>Master!C2</f>
        <v>iz/kkukpk;Z</v>
      </c>
      <c r="I40" s="587"/>
      <c r="J40" s="415"/>
      <c r="K40" s="415"/>
    </row>
    <row r="41" spans="1:11" ht="18.75" customHeight="1">
      <c r="A41" s="324"/>
      <c r="B41" s="324"/>
      <c r="C41" s="425"/>
      <c r="D41" s="163"/>
      <c r="E41" s="163"/>
      <c r="F41" s="341"/>
      <c r="H41" s="588" t="str">
        <f>Master!D2</f>
        <v>jktdh; vkn'kZ mPp ek/;fed fo|ky; bdygjk ¼ Mhx ½</v>
      </c>
      <c r="I41" s="588"/>
      <c r="J41" s="163"/>
      <c r="K41" s="163"/>
    </row>
    <row r="42" spans="1:11" ht="18.75" customHeight="1">
      <c r="A42" s="324"/>
      <c r="B42" s="324"/>
      <c r="C42" s="341"/>
      <c r="D42" s="163"/>
      <c r="E42" s="163"/>
      <c r="F42" s="341"/>
      <c r="H42" s="588"/>
      <c r="I42" s="588"/>
      <c r="J42" s="163"/>
      <c r="K42" s="163"/>
    </row>
    <row r="43" spans="1:11" ht="15" customHeight="1">
      <c r="A43" s="324"/>
      <c r="B43" s="324"/>
      <c r="C43" s="341"/>
      <c r="D43" s="163"/>
      <c r="E43" s="163"/>
      <c r="F43" s="341"/>
      <c r="I43" s="163"/>
      <c r="J43" s="163"/>
      <c r="K43" s="163"/>
    </row>
    <row r="44" spans="1:11" ht="15" customHeight="1">
      <c r="A44" s="425"/>
      <c r="B44" s="425"/>
      <c r="C44" s="425"/>
      <c r="D44" s="341"/>
      <c r="E44" s="341"/>
      <c r="F44" s="341"/>
    </row>
    <row r="45" spans="1:11">
      <c r="A45" s="425"/>
      <c r="B45" s="425"/>
      <c r="C45" s="425"/>
      <c r="D45" s="425"/>
      <c r="E45" s="425"/>
      <c r="F45" s="241"/>
    </row>
    <row r="46" spans="1:11">
      <c r="A46" s="425"/>
      <c r="B46" s="425"/>
      <c r="C46" s="425"/>
      <c r="D46" s="425"/>
      <c r="E46" s="425"/>
      <c r="F46" s="241"/>
    </row>
  </sheetData>
  <mergeCells count="8">
    <mergeCell ref="H40:I40"/>
    <mergeCell ref="H41:I42"/>
    <mergeCell ref="D1:E1"/>
    <mergeCell ref="A5:I5"/>
    <mergeCell ref="H1:I1"/>
    <mergeCell ref="A2:I2"/>
    <mergeCell ref="A3:I3"/>
    <mergeCell ref="A4:I4"/>
  </mergeCells>
  <pageMargins left="0.45" right="0.45" top="0.75" bottom="0.75" header="0.3" footer="0.3"/>
  <pageSetup paperSize="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H17"/>
  <sheetViews>
    <sheetView workbookViewId="0">
      <selection activeCell="I9" sqref="I9"/>
    </sheetView>
  </sheetViews>
  <sheetFormatPr defaultRowHeight="15"/>
  <cols>
    <col min="1" max="1" width="6.42578125" style="486" customWidth="1"/>
    <col min="2" max="2" width="13.140625" style="486" customWidth="1"/>
    <col min="3" max="3" width="28" style="486" customWidth="1"/>
    <col min="4" max="4" width="16.42578125" style="486" customWidth="1"/>
    <col min="5" max="5" width="12.28515625" style="486" customWidth="1"/>
    <col min="6" max="6" width="19.28515625" style="486" customWidth="1"/>
    <col min="7" max="7" width="18.42578125" style="486" customWidth="1"/>
    <col min="8" max="8" width="17.85546875" style="486" customWidth="1"/>
    <col min="9" max="16384" width="9.140625" style="486"/>
  </cols>
  <sheetData>
    <row r="1" spans="1:8" ht="26.25" customHeight="1">
      <c r="A1" s="775" t="str">
        <f>Summary!A2</f>
        <v>iz/kkukpk;Z jktdh; vkn'kZ mPp ek/;fed fo|ky; bdygjk ¼ Mhx ½</v>
      </c>
      <c r="B1" s="775"/>
      <c r="C1" s="775"/>
      <c r="D1" s="775"/>
      <c r="E1" s="775"/>
      <c r="F1" s="775"/>
      <c r="G1" s="775"/>
      <c r="H1" s="775"/>
    </row>
    <row r="2" spans="1:8" ht="18.75" customHeight="1">
      <c r="A2" s="501"/>
      <c r="B2" s="501"/>
    </row>
    <row r="3" spans="1:8" ht="18.75" customHeight="1">
      <c r="A3" s="776" t="s">
        <v>582</v>
      </c>
      <c r="B3" s="776"/>
      <c r="C3" s="776"/>
      <c r="D3" s="776"/>
      <c r="E3" s="776"/>
      <c r="F3" s="776"/>
      <c r="G3" s="776"/>
      <c r="H3" s="776"/>
    </row>
    <row r="4" spans="1:8" ht="18.75" customHeight="1">
      <c r="A4" s="772">
        <f>Summary!$C$1</f>
        <v>30695</v>
      </c>
      <c r="B4" s="772"/>
      <c r="C4" s="773" t="str">
        <f>Summary!A5</f>
        <v>BUDGET HEAD : 2202-GENERAL EDUCATION, 02-SECONDARY EDUCATION, 109-GOVT. SEC. SCHOOL, (01)-BOYS SCHOOL (STATE FUND)</v>
      </c>
      <c r="D4" s="773"/>
      <c r="E4" s="773"/>
      <c r="F4" s="773"/>
      <c r="G4" s="773"/>
      <c r="H4" s="773"/>
    </row>
    <row r="5" spans="1:8" ht="29.25" customHeight="1">
      <c r="A5" s="777" t="s">
        <v>677</v>
      </c>
      <c r="B5" s="777"/>
      <c r="C5" s="777"/>
      <c r="D5" s="777"/>
      <c r="E5" s="777"/>
      <c r="F5" s="777"/>
      <c r="G5" s="777"/>
      <c r="H5" s="777"/>
    </row>
    <row r="6" spans="1:8" ht="18.75" customHeight="1">
      <c r="A6" s="778"/>
      <c r="B6" s="778"/>
      <c r="C6" s="778"/>
      <c r="D6" s="778"/>
      <c r="E6" s="778"/>
      <c r="F6" s="778"/>
      <c r="G6" s="778"/>
      <c r="H6" s="778"/>
    </row>
    <row r="7" spans="1:8" s="503" customFormat="1" ht="75.75" customHeight="1">
      <c r="A7" s="502" t="s">
        <v>583</v>
      </c>
      <c r="B7" s="502" t="s">
        <v>584</v>
      </c>
      <c r="C7" s="502" t="s">
        <v>585</v>
      </c>
      <c r="D7" s="502" t="s">
        <v>586</v>
      </c>
      <c r="E7" s="502" t="s">
        <v>587</v>
      </c>
      <c r="F7" s="502" t="s">
        <v>588</v>
      </c>
      <c r="G7" s="502" t="s">
        <v>589</v>
      </c>
      <c r="H7" s="502" t="s">
        <v>590</v>
      </c>
    </row>
    <row r="8" spans="1:8" s="503" customFormat="1" ht="20.25" customHeight="1">
      <c r="A8" s="502">
        <v>1</v>
      </c>
      <c r="B8" s="502">
        <v>2</v>
      </c>
      <c r="C8" s="502">
        <v>3</v>
      </c>
      <c r="D8" s="502">
        <v>4</v>
      </c>
      <c r="E8" s="502">
        <v>5</v>
      </c>
      <c r="F8" s="502">
        <v>6</v>
      </c>
      <c r="G8" s="502">
        <v>7</v>
      </c>
      <c r="H8" s="502">
        <v>8</v>
      </c>
    </row>
    <row r="9" spans="1:8" s="506" customFormat="1" ht="37.5" customHeight="1">
      <c r="A9" s="504"/>
      <c r="B9" s="504"/>
      <c r="C9" s="505"/>
      <c r="D9" s="504"/>
      <c r="E9" s="504"/>
      <c r="F9" s="504"/>
      <c r="G9" s="504"/>
      <c r="H9" s="504"/>
    </row>
    <row r="10" spans="1:8" s="506" customFormat="1" ht="37.5" customHeight="1">
      <c r="A10" s="504"/>
      <c r="B10" s="504"/>
      <c r="C10" s="505"/>
      <c r="D10" s="504"/>
      <c r="E10" s="507" t="s">
        <v>591</v>
      </c>
      <c r="F10" s="504"/>
      <c r="G10" s="504"/>
      <c r="H10" s="504"/>
    </row>
    <row r="11" spans="1:8" s="506" customFormat="1" ht="37.5" customHeight="1">
      <c r="A11" s="504"/>
      <c r="B11" s="504"/>
      <c r="C11" s="505"/>
      <c r="D11" s="504"/>
      <c r="E11" s="504"/>
      <c r="F11" s="504"/>
      <c r="G11" s="504"/>
      <c r="H11" s="504"/>
    </row>
    <row r="12" spans="1:8" s="506" customFormat="1" ht="37.5" customHeight="1">
      <c r="A12" s="504"/>
      <c r="B12" s="504"/>
      <c r="C12" s="505"/>
      <c r="D12" s="505"/>
      <c r="E12" s="504"/>
      <c r="F12" s="504"/>
      <c r="G12" s="504" t="s">
        <v>489</v>
      </c>
      <c r="H12" s="504">
        <f>SUM(H9:H11)</f>
        <v>0</v>
      </c>
    </row>
    <row r="15" spans="1:8" ht="18.75">
      <c r="F15" s="587" t="str">
        <f>Master!C2</f>
        <v>iz/kkukpk;Z</v>
      </c>
      <c r="G15" s="587"/>
    </row>
    <row r="16" spans="1:8" ht="18.75" customHeight="1">
      <c r="F16" s="774" t="str">
        <f>Master!D2</f>
        <v>jktdh; vkn'kZ mPp ek/;fed fo|ky; bdygjk ¼ Mhx ½</v>
      </c>
      <c r="G16" s="774"/>
    </row>
    <row r="17" spans="6:7">
      <c r="F17" s="774"/>
      <c r="G17" s="774"/>
    </row>
  </sheetData>
  <mergeCells count="8">
    <mergeCell ref="A4:B4"/>
    <mergeCell ref="C4:H4"/>
    <mergeCell ref="F15:G15"/>
    <mergeCell ref="F16:G17"/>
    <mergeCell ref="A1:H1"/>
    <mergeCell ref="A3:H3"/>
    <mergeCell ref="A5:H5"/>
    <mergeCell ref="A6:H6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N24"/>
  <sheetViews>
    <sheetView workbookViewId="0">
      <selection activeCell="C6" sqref="C6:K7"/>
    </sheetView>
  </sheetViews>
  <sheetFormatPr defaultRowHeight="15"/>
  <cols>
    <col min="1" max="1" width="6.42578125" style="488" customWidth="1"/>
    <col min="2" max="2" width="15.7109375" style="488" customWidth="1"/>
    <col min="3" max="5" width="9.140625" style="488"/>
    <col min="6" max="6" width="9.7109375" style="488" customWidth="1"/>
    <col min="7" max="9" width="9.140625" style="488"/>
    <col min="10" max="10" width="10" style="488" customWidth="1"/>
    <col min="11" max="11" width="9.140625" style="488"/>
    <col min="12" max="13" width="9" style="488" customWidth="1"/>
    <col min="14" max="14" width="8.28515625" style="488" customWidth="1"/>
    <col min="15" max="257" width="9.140625" style="486"/>
    <col min="258" max="258" width="15.7109375" style="486" customWidth="1"/>
    <col min="259" max="261" width="9.140625" style="486"/>
    <col min="262" max="262" width="9.7109375" style="486" customWidth="1"/>
    <col min="263" max="265" width="9.140625" style="486"/>
    <col min="266" max="266" width="10" style="486" customWidth="1"/>
    <col min="267" max="267" width="9.140625" style="486"/>
    <col min="268" max="268" width="7.85546875" style="486" customWidth="1"/>
    <col min="269" max="270" width="8.28515625" style="486" customWidth="1"/>
    <col min="271" max="513" width="9.140625" style="486"/>
    <col min="514" max="514" width="15.7109375" style="486" customWidth="1"/>
    <col min="515" max="517" width="9.140625" style="486"/>
    <col min="518" max="518" width="9.7109375" style="486" customWidth="1"/>
    <col min="519" max="521" width="9.140625" style="486"/>
    <col min="522" max="522" width="10" style="486" customWidth="1"/>
    <col min="523" max="523" width="9.140625" style="486"/>
    <col min="524" max="524" width="7.85546875" style="486" customWidth="1"/>
    <col min="525" max="526" width="8.28515625" style="486" customWidth="1"/>
    <col min="527" max="769" width="9.140625" style="486"/>
    <col min="770" max="770" width="15.7109375" style="486" customWidth="1"/>
    <col min="771" max="773" width="9.140625" style="486"/>
    <col min="774" max="774" width="9.7109375" style="486" customWidth="1"/>
    <col min="775" max="777" width="9.140625" style="486"/>
    <col min="778" max="778" width="10" style="486" customWidth="1"/>
    <col min="779" max="779" width="9.140625" style="486"/>
    <col min="780" max="780" width="7.85546875" style="486" customWidth="1"/>
    <col min="781" max="782" width="8.28515625" style="486" customWidth="1"/>
    <col min="783" max="1025" width="9.140625" style="486"/>
    <col min="1026" max="1026" width="15.7109375" style="486" customWidth="1"/>
    <col min="1027" max="1029" width="9.140625" style="486"/>
    <col min="1030" max="1030" width="9.7109375" style="486" customWidth="1"/>
    <col min="1031" max="1033" width="9.140625" style="486"/>
    <col min="1034" max="1034" width="10" style="486" customWidth="1"/>
    <col min="1035" max="1035" width="9.140625" style="486"/>
    <col min="1036" max="1036" width="7.85546875" style="486" customWidth="1"/>
    <col min="1037" max="1038" width="8.28515625" style="486" customWidth="1"/>
    <col min="1039" max="1281" width="9.140625" style="486"/>
    <col min="1282" max="1282" width="15.7109375" style="486" customWidth="1"/>
    <col min="1283" max="1285" width="9.140625" style="486"/>
    <col min="1286" max="1286" width="9.7109375" style="486" customWidth="1"/>
    <col min="1287" max="1289" width="9.140625" style="486"/>
    <col min="1290" max="1290" width="10" style="486" customWidth="1"/>
    <col min="1291" max="1291" width="9.140625" style="486"/>
    <col min="1292" max="1292" width="7.85546875" style="486" customWidth="1"/>
    <col min="1293" max="1294" width="8.28515625" style="486" customWidth="1"/>
    <col min="1295" max="1537" width="9.140625" style="486"/>
    <col min="1538" max="1538" width="15.7109375" style="486" customWidth="1"/>
    <col min="1539" max="1541" width="9.140625" style="486"/>
    <col min="1542" max="1542" width="9.7109375" style="486" customWidth="1"/>
    <col min="1543" max="1545" width="9.140625" style="486"/>
    <col min="1546" max="1546" width="10" style="486" customWidth="1"/>
    <col min="1547" max="1547" width="9.140625" style="486"/>
    <col min="1548" max="1548" width="7.85546875" style="486" customWidth="1"/>
    <col min="1549" max="1550" width="8.28515625" style="486" customWidth="1"/>
    <col min="1551" max="1793" width="9.140625" style="486"/>
    <col min="1794" max="1794" width="15.7109375" style="486" customWidth="1"/>
    <col min="1795" max="1797" width="9.140625" style="486"/>
    <col min="1798" max="1798" width="9.7109375" style="486" customWidth="1"/>
    <col min="1799" max="1801" width="9.140625" style="486"/>
    <col min="1802" max="1802" width="10" style="486" customWidth="1"/>
    <col min="1803" max="1803" width="9.140625" style="486"/>
    <col min="1804" max="1804" width="7.85546875" style="486" customWidth="1"/>
    <col min="1805" max="1806" width="8.28515625" style="486" customWidth="1"/>
    <col min="1807" max="2049" width="9.140625" style="486"/>
    <col min="2050" max="2050" width="15.7109375" style="486" customWidth="1"/>
    <col min="2051" max="2053" width="9.140625" style="486"/>
    <col min="2054" max="2054" width="9.7109375" style="486" customWidth="1"/>
    <col min="2055" max="2057" width="9.140625" style="486"/>
    <col min="2058" max="2058" width="10" style="486" customWidth="1"/>
    <col min="2059" max="2059" width="9.140625" style="486"/>
    <col min="2060" max="2060" width="7.85546875" style="486" customWidth="1"/>
    <col min="2061" max="2062" width="8.28515625" style="486" customWidth="1"/>
    <col min="2063" max="2305" width="9.140625" style="486"/>
    <col min="2306" max="2306" width="15.7109375" style="486" customWidth="1"/>
    <col min="2307" max="2309" width="9.140625" style="486"/>
    <col min="2310" max="2310" width="9.7109375" style="486" customWidth="1"/>
    <col min="2311" max="2313" width="9.140625" style="486"/>
    <col min="2314" max="2314" width="10" style="486" customWidth="1"/>
    <col min="2315" max="2315" width="9.140625" style="486"/>
    <col min="2316" max="2316" width="7.85546875" style="486" customWidth="1"/>
    <col min="2317" max="2318" width="8.28515625" style="486" customWidth="1"/>
    <col min="2319" max="2561" width="9.140625" style="486"/>
    <col min="2562" max="2562" width="15.7109375" style="486" customWidth="1"/>
    <col min="2563" max="2565" width="9.140625" style="486"/>
    <col min="2566" max="2566" width="9.7109375" style="486" customWidth="1"/>
    <col min="2567" max="2569" width="9.140625" style="486"/>
    <col min="2570" max="2570" width="10" style="486" customWidth="1"/>
    <col min="2571" max="2571" width="9.140625" style="486"/>
    <col min="2572" max="2572" width="7.85546875" style="486" customWidth="1"/>
    <col min="2573" max="2574" width="8.28515625" style="486" customWidth="1"/>
    <col min="2575" max="2817" width="9.140625" style="486"/>
    <col min="2818" max="2818" width="15.7109375" style="486" customWidth="1"/>
    <col min="2819" max="2821" width="9.140625" style="486"/>
    <col min="2822" max="2822" width="9.7109375" style="486" customWidth="1"/>
    <col min="2823" max="2825" width="9.140625" style="486"/>
    <col min="2826" max="2826" width="10" style="486" customWidth="1"/>
    <col min="2827" max="2827" width="9.140625" style="486"/>
    <col min="2828" max="2828" width="7.85546875" style="486" customWidth="1"/>
    <col min="2829" max="2830" width="8.28515625" style="486" customWidth="1"/>
    <col min="2831" max="3073" width="9.140625" style="486"/>
    <col min="3074" max="3074" width="15.7109375" style="486" customWidth="1"/>
    <col min="3075" max="3077" width="9.140625" style="486"/>
    <col min="3078" max="3078" width="9.7109375" style="486" customWidth="1"/>
    <col min="3079" max="3081" width="9.140625" style="486"/>
    <col min="3082" max="3082" width="10" style="486" customWidth="1"/>
    <col min="3083" max="3083" width="9.140625" style="486"/>
    <col min="3084" max="3084" width="7.85546875" style="486" customWidth="1"/>
    <col min="3085" max="3086" width="8.28515625" style="486" customWidth="1"/>
    <col min="3087" max="3329" width="9.140625" style="486"/>
    <col min="3330" max="3330" width="15.7109375" style="486" customWidth="1"/>
    <col min="3331" max="3333" width="9.140625" style="486"/>
    <col min="3334" max="3334" width="9.7109375" style="486" customWidth="1"/>
    <col min="3335" max="3337" width="9.140625" style="486"/>
    <col min="3338" max="3338" width="10" style="486" customWidth="1"/>
    <col min="3339" max="3339" width="9.140625" style="486"/>
    <col min="3340" max="3340" width="7.85546875" style="486" customWidth="1"/>
    <col min="3341" max="3342" width="8.28515625" style="486" customWidth="1"/>
    <col min="3343" max="3585" width="9.140625" style="486"/>
    <col min="3586" max="3586" width="15.7109375" style="486" customWidth="1"/>
    <col min="3587" max="3589" width="9.140625" style="486"/>
    <col min="3590" max="3590" width="9.7109375" style="486" customWidth="1"/>
    <col min="3591" max="3593" width="9.140625" style="486"/>
    <col min="3594" max="3594" width="10" style="486" customWidth="1"/>
    <col min="3595" max="3595" width="9.140625" style="486"/>
    <col min="3596" max="3596" width="7.85546875" style="486" customWidth="1"/>
    <col min="3597" max="3598" width="8.28515625" style="486" customWidth="1"/>
    <col min="3599" max="3841" width="9.140625" style="486"/>
    <col min="3842" max="3842" width="15.7109375" style="486" customWidth="1"/>
    <col min="3843" max="3845" width="9.140625" style="486"/>
    <col min="3846" max="3846" width="9.7109375" style="486" customWidth="1"/>
    <col min="3847" max="3849" width="9.140625" style="486"/>
    <col min="3850" max="3850" width="10" style="486" customWidth="1"/>
    <col min="3851" max="3851" width="9.140625" style="486"/>
    <col min="3852" max="3852" width="7.85546875" style="486" customWidth="1"/>
    <col min="3853" max="3854" width="8.28515625" style="486" customWidth="1"/>
    <col min="3855" max="4097" width="9.140625" style="486"/>
    <col min="4098" max="4098" width="15.7109375" style="486" customWidth="1"/>
    <col min="4099" max="4101" width="9.140625" style="486"/>
    <col min="4102" max="4102" width="9.7109375" style="486" customWidth="1"/>
    <col min="4103" max="4105" width="9.140625" style="486"/>
    <col min="4106" max="4106" width="10" style="486" customWidth="1"/>
    <col min="4107" max="4107" width="9.140625" style="486"/>
    <col min="4108" max="4108" width="7.85546875" style="486" customWidth="1"/>
    <col min="4109" max="4110" width="8.28515625" style="486" customWidth="1"/>
    <col min="4111" max="4353" width="9.140625" style="486"/>
    <col min="4354" max="4354" width="15.7109375" style="486" customWidth="1"/>
    <col min="4355" max="4357" width="9.140625" style="486"/>
    <col min="4358" max="4358" width="9.7109375" style="486" customWidth="1"/>
    <col min="4359" max="4361" width="9.140625" style="486"/>
    <col min="4362" max="4362" width="10" style="486" customWidth="1"/>
    <col min="4363" max="4363" width="9.140625" style="486"/>
    <col min="4364" max="4364" width="7.85546875" style="486" customWidth="1"/>
    <col min="4365" max="4366" width="8.28515625" style="486" customWidth="1"/>
    <col min="4367" max="4609" width="9.140625" style="486"/>
    <col min="4610" max="4610" width="15.7109375" style="486" customWidth="1"/>
    <col min="4611" max="4613" width="9.140625" style="486"/>
    <col min="4614" max="4614" width="9.7109375" style="486" customWidth="1"/>
    <col min="4615" max="4617" width="9.140625" style="486"/>
    <col min="4618" max="4618" width="10" style="486" customWidth="1"/>
    <col min="4619" max="4619" width="9.140625" style="486"/>
    <col min="4620" max="4620" width="7.85546875" style="486" customWidth="1"/>
    <col min="4621" max="4622" width="8.28515625" style="486" customWidth="1"/>
    <col min="4623" max="4865" width="9.140625" style="486"/>
    <col min="4866" max="4866" width="15.7109375" style="486" customWidth="1"/>
    <col min="4867" max="4869" width="9.140625" style="486"/>
    <col min="4870" max="4870" width="9.7109375" style="486" customWidth="1"/>
    <col min="4871" max="4873" width="9.140625" style="486"/>
    <col min="4874" max="4874" width="10" style="486" customWidth="1"/>
    <col min="4875" max="4875" width="9.140625" style="486"/>
    <col min="4876" max="4876" width="7.85546875" style="486" customWidth="1"/>
    <col min="4877" max="4878" width="8.28515625" style="486" customWidth="1"/>
    <col min="4879" max="5121" width="9.140625" style="486"/>
    <col min="5122" max="5122" width="15.7109375" style="486" customWidth="1"/>
    <col min="5123" max="5125" width="9.140625" style="486"/>
    <col min="5126" max="5126" width="9.7109375" style="486" customWidth="1"/>
    <col min="5127" max="5129" width="9.140625" style="486"/>
    <col min="5130" max="5130" width="10" style="486" customWidth="1"/>
    <col min="5131" max="5131" width="9.140625" style="486"/>
    <col min="5132" max="5132" width="7.85546875" style="486" customWidth="1"/>
    <col min="5133" max="5134" width="8.28515625" style="486" customWidth="1"/>
    <col min="5135" max="5377" width="9.140625" style="486"/>
    <col min="5378" max="5378" width="15.7109375" style="486" customWidth="1"/>
    <col min="5379" max="5381" width="9.140625" style="486"/>
    <col min="5382" max="5382" width="9.7109375" style="486" customWidth="1"/>
    <col min="5383" max="5385" width="9.140625" style="486"/>
    <col min="5386" max="5386" width="10" style="486" customWidth="1"/>
    <col min="5387" max="5387" width="9.140625" style="486"/>
    <col min="5388" max="5388" width="7.85546875" style="486" customWidth="1"/>
    <col min="5389" max="5390" width="8.28515625" style="486" customWidth="1"/>
    <col min="5391" max="5633" width="9.140625" style="486"/>
    <col min="5634" max="5634" width="15.7109375" style="486" customWidth="1"/>
    <col min="5635" max="5637" width="9.140625" style="486"/>
    <col min="5638" max="5638" width="9.7109375" style="486" customWidth="1"/>
    <col min="5639" max="5641" width="9.140625" style="486"/>
    <col min="5642" max="5642" width="10" style="486" customWidth="1"/>
    <col min="5643" max="5643" width="9.140625" style="486"/>
    <col min="5644" max="5644" width="7.85546875" style="486" customWidth="1"/>
    <col min="5645" max="5646" width="8.28515625" style="486" customWidth="1"/>
    <col min="5647" max="5889" width="9.140625" style="486"/>
    <col min="5890" max="5890" width="15.7109375" style="486" customWidth="1"/>
    <col min="5891" max="5893" width="9.140625" style="486"/>
    <col min="5894" max="5894" width="9.7109375" style="486" customWidth="1"/>
    <col min="5895" max="5897" width="9.140625" style="486"/>
    <col min="5898" max="5898" width="10" style="486" customWidth="1"/>
    <col min="5899" max="5899" width="9.140625" style="486"/>
    <col min="5900" max="5900" width="7.85546875" style="486" customWidth="1"/>
    <col min="5901" max="5902" width="8.28515625" style="486" customWidth="1"/>
    <col min="5903" max="6145" width="9.140625" style="486"/>
    <col min="6146" max="6146" width="15.7109375" style="486" customWidth="1"/>
    <col min="6147" max="6149" width="9.140625" style="486"/>
    <col min="6150" max="6150" width="9.7109375" style="486" customWidth="1"/>
    <col min="6151" max="6153" width="9.140625" style="486"/>
    <col min="6154" max="6154" width="10" style="486" customWidth="1"/>
    <col min="6155" max="6155" width="9.140625" style="486"/>
    <col min="6156" max="6156" width="7.85546875" style="486" customWidth="1"/>
    <col min="6157" max="6158" width="8.28515625" style="486" customWidth="1"/>
    <col min="6159" max="6401" width="9.140625" style="486"/>
    <col min="6402" max="6402" width="15.7109375" style="486" customWidth="1"/>
    <col min="6403" max="6405" width="9.140625" style="486"/>
    <col min="6406" max="6406" width="9.7109375" style="486" customWidth="1"/>
    <col min="6407" max="6409" width="9.140625" style="486"/>
    <col min="6410" max="6410" width="10" style="486" customWidth="1"/>
    <col min="6411" max="6411" width="9.140625" style="486"/>
    <col min="6412" max="6412" width="7.85546875" style="486" customWidth="1"/>
    <col min="6413" max="6414" width="8.28515625" style="486" customWidth="1"/>
    <col min="6415" max="6657" width="9.140625" style="486"/>
    <col min="6658" max="6658" width="15.7109375" style="486" customWidth="1"/>
    <col min="6659" max="6661" width="9.140625" style="486"/>
    <col min="6662" max="6662" width="9.7109375" style="486" customWidth="1"/>
    <col min="6663" max="6665" width="9.140625" style="486"/>
    <col min="6666" max="6666" width="10" style="486" customWidth="1"/>
    <col min="6667" max="6667" width="9.140625" style="486"/>
    <col min="6668" max="6668" width="7.85546875" style="486" customWidth="1"/>
    <col min="6669" max="6670" width="8.28515625" style="486" customWidth="1"/>
    <col min="6671" max="6913" width="9.140625" style="486"/>
    <col min="6914" max="6914" width="15.7109375" style="486" customWidth="1"/>
    <col min="6915" max="6917" width="9.140625" style="486"/>
    <col min="6918" max="6918" width="9.7109375" style="486" customWidth="1"/>
    <col min="6919" max="6921" width="9.140625" style="486"/>
    <col min="6922" max="6922" width="10" style="486" customWidth="1"/>
    <col min="6923" max="6923" width="9.140625" style="486"/>
    <col min="6924" max="6924" width="7.85546875" style="486" customWidth="1"/>
    <col min="6925" max="6926" width="8.28515625" style="486" customWidth="1"/>
    <col min="6927" max="7169" width="9.140625" style="486"/>
    <col min="7170" max="7170" width="15.7109375" style="486" customWidth="1"/>
    <col min="7171" max="7173" width="9.140625" style="486"/>
    <col min="7174" max="7174" width="9.7109375" style="486" customWidth="1"/>
    <col min="7175" max="7177" width="9.140625" style="486"/>
    <col min="7178" max="7178" width="10" style="486" customWidth="1"/>
    <col min="7179" max="7179" width="9.140625" style="486"/>
    <col min="7180" max="7180" width="7.85546875" style="486" customWidth="1"/>
    <col min="7181" max="7182" width="8.28515625" style="486" customWidth="1"/>
    <col min="7183" max="7425" width="9.140625" style="486"/>
    <col min="7426" max="7426" width="15.7109375" style="486" customWidth="1"/>
    <col min="7427" max="7429" width="9.140625" style="486"/>
    <col min="7430" max="7430" width="9.7109375" style="486" customWidth="1"/>
    <col min="7431" max="7433" width="9.140625" style="486"/>
    <col min="7434" max="7434" width="10" style="486" customWidth="1"/>
    <col min="7435" max="7435" width="9.140625" style="486"/>
    <col min="7436" max="7436" width="7.85546875" style="486" customWidth="1"/>
    <col min="7437" max="7438" width="8.28515625" style="486" customWidth="1"/>
    <col min="7439" max="7681" width="9.140625" style="486"/>
    <col min="7682" max="7682" width="15.7109375" style="486" customWidth="1"/>
    <col min="7683" max="7685" width="9.140625" style="486"/>
    <col min="7686" max="7686" width="9.7109375" style="486" customWidth="1"/>
    <col min="7687" max="7689" width="9.140625" style="486"/>
    <col min="7690" max="7690" width="10" style="486" customWidth="1"/>
    <col min="7691" max="7691" width="9.140625" style="486"/>
    <col min="7692" max="7692" width="7.85546875" style="486" customWidth="1"/>
    <col min="7693" max="7694" width="8.28515625" style="486" customWidth="1"/>
    <col min="7695" max="7937" width="9.140625" style="486"/>
    <col min="7938" max="7938" width="15.7109375" style="486" customWidth="1"/>
    <col min="7939" max="7941" width="9.140625" style="486"/>
    <col min="7942" max="7942" width="9.7109375" style="486" customWidth="1"/>
    <col min="7943" max="7945" width="9.140625" style="486"/>
    <col min="7946" max="7946" width="10" style="486" customWidth="1"/>
    <col min="7947" max="7947" width="9.140625" style="486"/>
    <col min="7948" max="7948" width="7.85546875" style="486" customWidth="1"/>
    <col min="7949" max="7950" width="8.28515625" style="486" customWidth="1"/>
    <col min="7951" max="8193" width="9.140625" style="486"/>
    <col min="8194" max="8194" width="15.7109375" style="486" customWidth="1"/>
    <col min="8195" max="8197" width="9.140625" style="486"/>
    <col min="8198" max="8198" width="9.7109375" style="486" customWidth="1"/>
    <col min="8199" max="8201" width="9.140625" style="486"/>
    <col min="8202" max="8202" width="10" style="486" customWidth="1"/>
    <col min="8203" max="8203" width="9.140625" style="486"/>
    <col min="8204" max="8204" width="7.85546875" style="486" customWidth="1"/>
    <col min="8205" max="8206" width="8.28515625" style="486" customWidth="1"/>
    <col min="8207" max="8449" width="9.140625" style="486"/>
    <col min="8450" max="8450" width="15.7109375" style="486" customWidth="1"/>
    <col min="8451" max="8453" width="9.140625" style="486"/>
    <col min="8454" max="8454" width="9.7109375" style="486" customWidth="1"/>
    <col min="8455" max="8457" width="9.140625" style="486"/>
    <col min="8458" max="8458" width="10" style="486" customWidth="1"/>
    <col min="8459" max="8459" width="9.140625" style="486"/>
    <col min="8460" max="8460" width="7.85546875" style="486" customWidth="1"/>
    <col min="8461" max="8462" width="8.28515625" style="486" customWidth="1"/>
    <col min="8463" max="8705" width="9.140625" style="486"/>
    <col min="8706" max="8706" width="15.7109375" style="486" customWidth="1"/>
    <col min="8707" max="8709" width="9.140625" style="486"/>
    <col min="8710" max="8710" width="9.7109375" style="486" customWidth="1"/>
    <col min="8711" max="8713" width="9.140625" style="486"/>
    <col min="8714" max="8714" width="10" style="486" customWidth="1"/>
    <col min="8715" max="8715" width="9.140625" style="486"/>
    <col min="8716" max="8716" width="7.85546875" style="486" customWidth="1"/>
    <col min="8717" max="8718" width="8.28515625" style="486" customWidth="1"/>
    <col min="8719" max="8961" width="9.140625" style="486"/>
    <col min="8962" max="8962" width="15.7109375" style="486" customWidth="1"/>
    <col min="8963" max="8965" width="9.140625" style="486"/>
    <col min="8966" max="8966" width="9.7109375" style="486" customWidth="1"/>
    <col min="8967" max="8969" width="9.140625" style="486"/>
    <col min="8970" max="8970" width="10" style="486" customWidth="1"/>
    <col min="8971" max="8971" width="9.140625" style="486"/>
    <col min="8972" max="8972" width="7.85546875" style="486" customWidth="1"/>
    <col min="8973" max="8974" width="8.28515625" style="486" customWidth="1"/>
    <col min="8975" max="9217" width="9.140625" style="486"/>
    <col min="9218" max="9218" width="15.7109375" style="486" customWidth="1"/>
    <col min="9219" max="9221" width="9.140625" style="486"/>
    <col min="9222" max="9222" width="9.7109375" style="486" customWidth="1"/>
    <col min="9223" max="9225" width="9.140625" style="486"/>
    <col min="9226" max="9226" width="10" style="486" customWidth="1"/>
    <col min="9227" max="9227" width="9.140625" style="486"/>
    <col min="9228" max="9228" width="7.85546875" style="486" customWidth="1"/>
    <col min="9229" max="9230" width="8.28515625" style="486" customWidth="1"/>
    <col min="9231" max="9473" width="9.140625" style="486"/>
    <col min="9474" max="9474" width="15.7109375" style="486" customWidth="1"/>
    <col min="9475" max="9477" width="9.140625" style="486"/>
    <col min="9478" max="9478" width="9.7109375" style="486" customWidth="1"/>
    <col min="9479" max="9481" width="9.140625" style="486"/>
    <col min="9482" max="9482" width="10" style="486" customWidth="1"/>
    <col min="9483" max="9483" width="9.140625" style="486"/>
    <col min="9484" max="9484" width="7.85546875" style="486" customWidth="1"/>
    <col min="9485" max="9486" width="8.28515625" style="486" customWidth="1"/>
    <col min="9487" max="9729" width="9.140625" style="486"/>
    <col min="9730" max="9730" width="15.7109375" style="486" customWidth="1"/>
    <col min="9731" max="9733" width="9.140625" style="486"/>
    <col min="9734" max="9734" width="9.7109375" style="486" customWidth="1"/>
    <col min="9735" max="9737" width="9.140625" style="486"/>
    <col min="9738" max="9738" width="10" style="486" customWidth="1"/>
    <col min="9739" max="9739" width="9.140625" style="486"/>
    <col min="9740" max="9740" width="7.85546875" style="486" customWidth="1"/>
    <col min="9741" max="9742" width="8.28515625" style="486" customWidth="1"/>
    <col min="9743" max="9985" width="9.140625" style="486"/>
    <col min="9986" max="9986" width="15.7109375" style="486" customWidth="1"/>
    <col min="9987" max="9989" width="9.140625" style="486"/>
    <col min="9990" max="9990" width="9.7109375" style="486" customWidth="1"/>
    <col min="9991" max="9993" width="9.140625" style="486"/>
    <col min="9994" max="9994" width="10" style="486" customWidth="1"/>
    <col min="9995" max="9995" width="9.140625" style="486"/>
    <col min="9996" max="9996" width="7.85546875" style="486" customWidth="1"/>
    <col min="9997" max="9998" width="8.28515625" style="486" customWidth="1"/>
    <col min="9999" max="10241" width="9.140625" style="486"/>
    <col min="10242" max="10242" width="15.7109375" style="486" customWidth="1"/>
    <col min="10243" max="10245" width="9.140625" style="486"/>
    <col min="10246" max="10246" width="9.7109375" style="486" customWidth="1"/>
    <col min="10247" max="10249" width="9.140625" style="486"/>
    <col min="10250" max="10250" width="10" style="486" customWidth="1"/>
    <col min="10251" max="10251" width="9.140625" style="486"/>
    <col min="10252" max="10252" width="7.85546875" style="486" customWidth="1"/>
    <col min="10253" max="10254" width="8.28515625" style="486" customWidth="1"/>
    <col min="10255" max="10497" width="9.140625" style="486"/>
    <col min="10498" max="10498" width="15.7109375" style="486" customWidth="1"/>
    <col min="10499" max="10501" width="9.140625" style="486"/>
    <col min="10502" max="10502" width="9.7109375" style="486" customWidth="1"/>
    <col min="10503" max="10505" width="9.140625" style="486"/>
    <col min="10506" max="10506" width="10" style="486" customWidth="1"/>
    <col min="10507" max="10507" width="9.140625" style="486"/>
    <col min="10508" max="10508" width="7.85546875" style="486" customWidth="1"/>
    <col min="10509" max="10510" width="8.28515625" style="486" customWidth="1"/>
    <col min="10511" max="10753" width="9.140625" style="486"/>
    <col min="10754" max="10754" width="15.7109375" style="486" customWidth="1"/>
    <col min="10755" max="10757" width="9.140625" style="486"/>
    <col min="10758" max="10758" width="9.7109375" style="486" customWidth="1"/>
    <col min="10759" max="10761" width="9.140625" style="486"/>
    <col min="10762" max="10762" width="10" style="486" customWidth="1"/>
    <col min="10763" max="10763" width="9.140625" style="486"/>
    <col min="10764" max="10764" width="7.85546875" style="486" customWidth="1"/>
    <col min="10765" max="10766" width="8.28515625" style="486" customWidth="1"/>
    <col min="10767" max="11009" width="9.140625" style="486"/>
    <col min="11010" max="11010" width="15.7109375" style="486" customWidth="1"/>
    <col min="11011" max="11013" width="9.140625" style="486"/>
    <col min="11014" max="11014" width="9.7109375" style="486" customWidth="1"/>
    <col min="11015" max="11017" width="9.140625" style="486"/>
    <col min="11018" max="11018" width="10" style="486" customWidth="1"/>
    <col min="11019" max="11019" width="9.140625" style="486"/>
    <col min="11020" max="11020" width="7.85546875" style="486" customWidth="1"/>
    <col min="11021" max="11022" width="8.28515625" style="486" customWidth="1"/>
    <col min="11023" max="11265" width="9.140625" style="486"/>
    <col min="11266" max="11266" width="15.7109375" style="486" customWidth="1"/>
    <col min="11267" max="11269" width="9.140625" style="486"/>
    <col min="11270" max="11270" width="9.7109375" style="486" customWidth="1"/>
    <col min="11271" max="11273" width="9.140625" style="486"/>
    <col min="11274" max="11274" width="10" style="486" customWidth="1"/>
    <col min="11275" max="11275" width="9.140625" style="486"/>
    <col min="11276" max="11276" width="7.85546875" style="486" customWidth="1"/>
    <col min="11277" max="11278" width="8.28515625" style="486" customWidth="1"/>
    <col min="11279" max="11521" width="9.140625" style="486"/>
    <col min="11522" max="11522" width="15.7109375" style="486" customWidth="1"/>
    <col min="11523" max="11525" width="9.140625" style="486"/>
    <col min="11526" max="11526" width="9.7109375" style="486" customWidth="1"/>
    <col min="11527" max="11529" width="9.140625" style="486"/>
    <col min="11530" max="11530" width="10" style="486" customWidth="1"/>
    <col min="11531" max="11531" width="9.140625" style="486"/>
    <col min="11532" max="11532" width="7.85546875" style="486" customWidth="1"/>
    <col min="11533" max="11534" width="8.28515625" style="486" customWidth="1"/>
    <col min="11535" max="11777" width="9.140625" style="486"/>
    <col min="11778" max="11778" width="15.7109375" style="486" customWidth="1"/>
    <col min="11779" max="11781" width="9.140625" style="486"/>
    <col min="11782" max="11782" width="9.7109375" style="486" customWidth="1"/>
    <col min="11783" max="11785" width="9.140625" style="486"/>
    <col min="11786" max="11786" width="10" style="486" customWidth="1"/>
    <col min="11787" max="11787" width="9.140625" style="486"/>
    <col min="11788" max="11788" width="7.85546875" style="486" customWidth="1"/>
    <col min="11789" max="11790" width="8.28515625" style="486" customWidth="1"/>
    <col min="11791" max="12033" width="9.140625" style="486"/>
    <col min="12034" max="12034" width="15.7109375" style="486" customWidth="1"/>
    <col min="12035" max="12037" width="9.140625" style="486"/>
    <col min="12038" max="12038" width="9.7109375" style="486" customWidth="1"/>
    <col min="12039" max="12041" width="9.140625" style="486"/>
    <col min="12042" max="12042" width="10" style="486" customWidth="1"/>
    <col min="12043" max="12043" width="9.140625" style="486"/>
    <col min="12044" max="12044" width="7.85546875" style="486" customWidth="1"/>
    <col min="12045" max="12046" width="8.28515625" style="486" customWidth="1"/>
    <col min="12047" max="12289" width="9.140625" style="486"/>
    <col min="12290" max="12290" width="15.7109375" style="486" customWidth="1"/>
    <col min="12291" max="12293" width="9.140625" style="486"/>
    <col min="12294" max="12294" width="9.7109375" style="486" customWidth="1"/>
    <col min="12295" max="12297" width="9.140625" style="486"/>
    <col min="12298" max="12298" width="10" style="486" customWidth="1"/>
    <col min="12299" max="12299" width="9.140625" style="486"/>
    <col min="12300" max="12300" width="7.85546875" style="486" customWidth="1"/>
    <col min="12301" max="12302" width="8.28515625" style="486" customWidth="1"/>
    <col min="12303" max="12545" width="9.140625" style="486"/>
    <col min="12546" max="12546" width="15.7109375" style="486" customWidth="1"/>
    <col min="12547" max="12549" width="9.140625" style="486"/>
    <col min="12550" max="12550" width="9.7109375" style="486" customWidth="1"/>
    <col min="12551" max="12553" width="9.140625" style="486"/>
    <col min="12554" max="12554" width="10" style="486" customWidth="1"/>
    <col min="12555" max="12555" width="9.140625" style="486"/>
    <col min="12556" max="12556" width="7.85546875" style="486" customWidth="1"/>
    <col min="12557" max="12558" width="8.28515625" style="486" customWidth="1"/>
    <col min="12559" max="12801" width="9.140625" style="486"/>
    <col min="12802" max="12802" width="15.7109375" style="486" customWidth="1"/>
    <col min="12803" max="12805" width="9.140625" style="486"/>
    <col min="12806" max="12806" width="9.7109375" style="486" customWidth="1"/>
    <col min="12807" max="12809" width="9.140625" style="486"/>
    <col min="12810" max="12810" width="10" style="486" customWidth="1"/>
    <col min="12811" max="12811" width="9.140625" style="486"/>
    <col min="12812" max="12812" width="7.85546875" style="486" customWidth="1"/>
    <col min="12813" max="12814" width="8.28515625" style="486" customWidth="1"/>
    <col min="12815" max="13057" width="9.140625" style="486"/>
    <col min="13058" max="13058" width="15.7109375" style="486" customWidth="1"/>
    <col min="13059" max="13061" width="9.140625" style="486"/>
    <col min="13062" max="13062" width="9.7109375" style="486" customWidth="1"/>
    <col min="13063" max="13065" width="9.140625" style="486"/>
    <col min="13066" max="13066" width="10" style="486" customWidth="1"/>
    <col min="13067" max="13067" width="9.140625" style="486"/>
    <col min="13068" max="13068" width="7.85546875" style="486" customWidth="1"/>
    <col min="13069" max="13070" width="8.28515625" style="486" customWidth="1"/>
    <col min="13071" max="13313" width="9.140625" style="486"/>
    <col min="13314" max="13314" width="15.7109375" style="486" customWidth="1"/>
    <col min="13315" max="13317" width="9.140625" style="486"/>
    <col min="13318" max="13318" width="9.7109375" style="486" customWidth="1"/>
    <col min="13319" max="13321" width="9.140625" style="486"/>
    <col min="13322" max="13322" width="10" style="486" customWidth="1"/>
    <col min="13323" max="13323" width="9.140625" style="486"/>
    <col min="13324" max="13324" width="7.85546875" style="486" customWidth="1"/>
    <col min="13325" max="13326" width="8.28515625" style="486" customWidth="1"/>
    <col min="13327" max="13569" width="9.140625" style="486"/>
    <col min="13570" max="13570" width="15.7109375" style="486" customWidth="1"/>
    <col min="13571" max="13573" width="9.140625" style="486"/>
    <col min="13574" max="13574" width="9.7109375" style="486" customWidth="1"/>
    <col min="13575" max="13577" width="9.140625" style="486"/>
    <col min="13578" max="13578" width="10" style="486" customWidth="1"/>
    <col min="13579" max="13579" width="9.140625" style="486"/>
    <col min="13580" max="13580" width="7.85546875" style="486" customWidth="1"/>
    <col min="13581" max="13582" width="8.28515625" style="486" customWidth="1"/>
    <col min="13583" max="13825" width="9.140625" style="486"/>
    <col min="13826" max="13826" width="15.7109375" style="486" customWidth="1"/>
    <col min="13827" max="13829" width="9.140625" style="486"/>
    <col min="13830" max="13830" width="9.7109375" style="486" customWidth="1"/>
    <col min="13831" max="13833" width="9.140625" style="486"/>
    <col min="13834" max="13834" width="10" style="486" customWidth="1"/>
    <col min="13835" max="13835" width="9.140625" style="486"/>
    <col min="13836" max="13836" width="7.85546875" style="486" customWidth="1"/>
    <col min="13837" max="13838" width="8.28515625" style="486" customWidth="1"/>
    <col min="13839" max="14081" width="9.140625" style="486"/>
    <col min="14082" max="14082" width="15.7109375" style="486" customWidth="1"/>
    <col min="14083" max="14085" width="9.140625" style="486"/>
    <col min="14086" max="14086" width="9.7109375" style="486" customWidth="1"/>
    <col min="14087" max="14089" width="9.140625" style="486"/>
    <col min="14090" max="14090" width="10" style="486" customWidth="1"/>
    <col min="14091" max="14091" width="9.140625" style="486"/>
    <col min="14092" max="14092" width="7.85546875" style="486" customWidth="1"/>
    <col min="14093" max="14094" width="8.28515625" style="486" customWidth="1"/>
    <col min="14095" max="14337" width="9.140625" style="486"/>
    <col min="14338" max="14338" width="15.7109375" style="486" customWidth="1"/>
    <col min="14339" max="14341" width="9.140625" style="486"/>
    <col min="14342" max="14342" width="9.7109375" style="486" customWidth="1"/>
    <col min="14343" max="14345" width="9.140625" style="486"/>
    <col min="14346" max="14346" width="10" style="486" customWidth="1"/>
    <col min="14347" max="14347" width="9.140625" style="486"/>
    <col min="14348" max="14348" width="7.85546875" style="486" customWidth="1"/>
    <col min="14349" max="14350" width="8.28515625" style="486" customWidth="1"/>
    <col min="14351" max="14593" width="9.140625" style="486"/>
    <col min="14594" max="14594" width="15.7109375" style="486" customWidth="1"/>
    <col min="14595" max="14597" width="9.140625" style="486"/>
    <col min="14598" max="14598" width="9.7109375" style="486" customWidth="1"/>
    <col min="14599" max="14601" width="9.140625" style="486"/>
    <col min="14602" max="14602" width="10" style="486" customWidth="1"/>
    <col min="14603" max="14603" width="9.140625" style="486"/>
    <col min="14604" max="14604" width="7.85546875" style="486" customWidth="1"/>
    <col min="14605" max="14606" width="8.28515625" style="486" customWidth="1"/>
    <col min="14607" max="14849" width="9.140625" style="486"/>
    <col min="14850" max="14850" width="15.7109375" style="486" customWidth="1"/>
    <col min="14851" max="14853" width="9.140625" style="486"/>
    <col min="14854" max="14854" width="9.7109375" style="486" customWidth="1"/>
    <col min="14855" max="14857" width="9.140625" style="486"/>
    <col min="14858" max="14858" width="10" style="486" customWidth="1"/>
    <col min="14859" max="14859" width="9.140625" style="486"/>
    <col min="14860" max="14860" width="7.85546875" style="486" customWidth="1"/>
    <col min="14861" max="14862" width="8.28515625" style="486" customWidth="1"/>
    <col min="14863" max="15105" width="9.140625" style="486"/>
    <col min="15106" max="15106" width="15.7109375" style="486" customWidth="1"/>
    <col min="15107" max="15109" width="9.140625" style="486"/>
    <col min="15110" max="15110" width="9.7109375" style="486" customWidth="1"/>
    <col min="15111" max="15113" width="9.140625" style="486"/>
    <col min="15114" max="15114" width="10" style="486" customWidth="1"/>
    <col min="15115" max="15115" width="9.140625" style="486"/>
    <col min="15116" max="15116" width="7.85546875" style="486" customWidth="1"/>
    <col min="15117" max="15118" width="8.28515625" style="486" customWidth="1"/>
    <col min="15119" max="15361" width="9.140625" style="486"/>
    <col min="15362" max="15362" width="15.7109375" style="486" customWidth="1"/>
    <col min="15363" max="15365" width="9.140625" style="486"/>
    <col min="15366" max="15366" width="9.7109375" style="486" customWidth="1"/>
    <col min="15367" max="15369" width="9.140625" style="486"/>
    <col min="15370" max="15370" width="10" style="486" customWidth="1"/>
    <col min="15371" max="15371" width="9.140625" style="486"/>
    <col min="15372" max="15372" width="7.85546875" style="486" customWidth="1"/>
    <col min="15373" max="15374" width="8.28515625" style="486" customWidth="1"/>
    <col min="15375" max="15617" width="9.140625" style="486"/>
    <col min="15618" max="15618" width="15.7109375" style="486" customWidth="1"/>
    <col min="15619" max="15621" width="9.140625" style="486"/>
    <col min="15622" max="15622" width="9.7109375" style="486" customWidth="1"/>
    <col min="15623" max="15625" width="9.140625" style="486"/>
    <col min="15626" max="15626" width="10" style="486" customWidth="1"/>
    <col min="15627" max="15627" width="9.140625" style="486"/>
    <col min="15628" max="15628" width="7.85546875" style="486" customWidth="1"/>
    <col min="15629" max="15630" width="8.28515625" style="486" customWidth="1"/>
    <col min="15631" max="15873" width="9.140625" style="486"/>
    <col min="15874" max="15874" width="15.7109375" style="486" customWidth="1"/>
    <col min="15875" max="15877" width="9.140625" style="486"/>
    <col min="15878" max="15878" width="9.7109375" style="486" customWidth="1"/>
    <col min="15879" max="15881" width="9.140625" style="486"/>
    <col min="15882" max="15882" width="10" style="486" customWidth="1"/>
    <col min="15883" max="15883" width="9.140625" style="486"/>
    <col min="15884" max="15884" width="7.85546875" style="486" customWidth="1"/>
    <col min="15885" max="15886" width="8.28515625" style="486" customWidth="1"/>
    <col min="15887" max="16129" width="9.140625" style="486"/>
    <col min="16130" max="16130" width="15.7109375" style="486" customWidth="1"/>
    <col min="16131" max="16133" width="9.140625" style="486"/>
    <col min="16134" max="16134" width="9.7109375" style="486" customWidth="1"/>
    <col min="16135" max="16137" width="9.140625" style="486"/>
    <col min="16138" max="16138" width="10" style="486" customWidth="1"/>
    <col min="16139" max="16139" width="9.140625" style="486"/>
    <col min="16140" max="16140" width="7.85546875" style="486" customWidth="1"/>
    <col min="16141" max="16142" width="8.28515625" style="486" customWidth="1"/>
    <col min="16143" max="16384" width="9.140625" style="486"/>
  </cols>
  <sheetData>
    <row r="1" spans="1:14" ht="30.75">
      <c r="A1" s="785" t="s">
        <v>616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1" t="s">
        <v>592</v>
      </c>
      <c r="N1" s="781"/>
    </row>
    <row r="2" spans="1:14" ht="20.25">
      <c r="A2" s="786" t="s">
        <v>617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7" t="s">
        <v>593</v>
      </c>
      <c r="N2" s="787"/>
    </row>
    <row r="3" spans="1:14" ht="16.5">
      <c r="A3" s="788" t="s">
        <v>680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</row>
    <row r="4" spans="1:14" ht="18.75">
      <c r="A4" s="781" t="s">
        <v>594</v>
      </c>
      <c r="B4" s="781"/>
      <c r="C4" s="781"/>
      <c r="D4" s="784" t="str">
        <f>Summary!A5</f>
        <v>BUDGET HEAD : 2202-GENERAL EDUCATION, 02-SECONDARY EDUCATION, 109-GOVT. SEC. SCHOOL, (01)-BOYS SCHOOL (STATE FUND)</v>
      </c>
      <c r="E4" s="784"/>
      <c r="F4" s="784"/>
      <c r="G4" s="784"/>
      <c r="H4" s="784"/>
      <c r="I4" s="784"/>
      <c r="J4" s="784"/>
      <c r="K4" s="784"/>
      <c r="L4" s="784"/>
      <c r="M4" s="784"/>
      <c r="N4" s="784"/>
    </row>
    <row r="5" spans="1:14" ht="18.75">
      <c r="A5" s="781" t="s">
        <v>595</v>
      </c>
      <c r="B5" s="781"/>
      <c r="C5" s="781"/>
      <c r="D5" s="780" t="s">
        <v>618</v>
      </c>
      <c r="E5" s="780"/>
      <c r="F5" s="779" t="str">
        <f>Summary!A2</f>
        <v>iz/kkukpk;Z jktdh; vkn'kZ mPp ek/;fed fo|ky; bdygjk ¼ Mhx ½</v>
      </c>
      <c r="G5" s="779"/>
      <c r="H5" s="779"/>
      <c r="I5" s="779"/>
      <c r="J5" s="779"/>
      <c r="K5" s="779"/>
      <c r="L5" s="779"/>
      <c r="M5" s="779"/>
      <c r="N5" s="779"/>
    </row>
    <row r="6" spans="1:14" s="503" customFormat="1" ht="40.5" customHeight="1">
      <c r="A6" s="782" t="s">
        <v>417</v>
      </c>
      <c r="B6" s="782" t="s">
        <v>596</v>
      </c>
      <c r="C6" s="783" t="s">
        <v>597</v>
      </c>
      <c r="D6" s="782"/>
      <c r="E6" s="782"/>
      <c r="F6" s="783" t="s">
        <v>600</v>
      </c>
      <c r="G6" s="783" t="s">
        <v>598</v>
      </c>
      <c r="H6" s="782"/>
      <c r="I6" s="782"/>
      <c r="J6" s="783" t="s">
        <v>599</v>
      </c>
      <c r="K6" s="783" t="s">
        <v>600</v>
      </c>
      <c r="L6" s="783" t="s">
        <v>601</v>
      </c>
      <c r="M6" s="782"/>
      <c r="N6" s="782"/>
    </row>
    <row r="7" spans="1:14" s="503" customFormat="1" ht="40.5" customHeight="1">
      <c r="A7" s="782"/>
      <c r="B7" s="782"/>
      <c r="C7" s="519" t="s">
        <v>98</v>
      </c>
      <c r="D7" s="519" t="s">
        <v>99</v>
      </c>
      <c r="E7" s="519" t="s">
        <v>5</v>
      </c>
      <c r="F7" s="782"/>
      <c r="G7" s="519" t="s">
        <v>678</v>
      </c>
      <c r="H7" s="519" t="s">
        <v>679</v>
      </c>
      <c r="I7" s="508" t="s">
        <v>602</v>
      </c>
      <c r="J7" s="782"/>
      <c r="K7" s="782"/>
      <c r="L7" s="496" t="s">
        <v>603</v>
      </c>
      <c r="M7" s="496" t="s">
        <v>604</v>
      </c>
      <c r="N7" s="496" t="s">
        <v>605</v>
      </c>
    </row>
    <row r="8" spans="1:14" s="509" customFormat="1">
      <c r="A8" s="489">
        <v>1</v>
      </c>
      <c r="B8" s="489">
        <v>2</v>
      </c>
      <c r="C8" s="489">
        <v>3</v>
      </c>
      <c r="D8" s="489">
        <v>4</v>
      </c>
      <c r="E8" s="489">
        <v>5</v>
      </c>
      <c r="F8" s="489">
        <v>6</v>
      </c>
      <c r="G8" s="489">
        <v>7</v>
      </c>
      <c r="H8" s="489">
        <v>8</v>
      </c>
      <c r="I8" s="489">
        <v>9</v>
      </c>
      <c r="J8" s="489">
        <v>10</v>
      </c>
      <c r="K8" s="489">
        <v>11</v>
      </c>
      <c r="L8" s="489">
        <v>12</v>
      </c>
      <c r="M8" s="489">
        <v>13</v>
      </c>
      <c r="N8" s="489">
        <v>14</v>
      </c>
    </row>
    <row r="9" spans="1:14" s="503" customFormat="1" ht="20.25" customHeight="1">
      <c r="A9" s="496">
        <v>1</v>
      </c>
      <c r="B9" s="496" t="s">
        <v>606</v>
      </c>
      <c r="C9" s="496"/>
      <c r="D9" s="496"/>
      <c r="E9" s="496"/>
      <c r="F9" s="496"/>
      <c r="G9" s="496"/>
      <c r="H9" s="496"/>
      <c r="I9" s="496">
        <f>G9+H9</f>
        <v>0</v>
      </c>
      <c r="J9" s="496">
        <f>[2]GA1!R36</f>
        <v>985470</v>
      </c>
      <c r="K9" s="496">
        <f>[2]GA1!M36</f>
        <v>1011302</v>
      </c>
      <c r="L9" s="496">
        <f>F9-J9</f>
        <v>-985470</v>
      </c>
      <c r="M9" s="496">
        <f>I9-J9</f>
        <v>-985470</v>
      </c>
      <c r="N9" s="496">
        <f>J9-K9</f>
        <v>-25832</v>
      </c>
    </row>
    <row r="10" spans="1:14" s="503" customFormat="1" ht="20.25" customHeight="1">
      <c r="A10" s="496">
        <v>2</v>
      </c>
      <c r="B10" s="496" t="s">
        <v>607</v>
      </c>
      <c r="C10" s="496"/>
      <c r="D10" s="496"/>
      <c r="E10" s="496"/>
      <c r="F10" s="496"/>
      <c r="G10" s="496"/>
      <c r="H10" s="496"/>
      <c r="I10" s="496">
        <f t="shared" ref="I10:I12" si="0">G10+H10</f>
        <v>0</v>
      </c>
      <c r="J10" s="496">
        <v>0</v>
      </c>
      <c r="K10" s="496">
        <v>0</v>
      </c>
      <c r="L10" s="496">
        <f t="shared" ref="L10:L12" si="1">F10-J10</f>
        <v>0</v>
      </c>
      <c r="M10" s="496">
        <f t="shared" ref="M10:N12" si="2">I10-J10</f>
        <v>0</v>
      </c>
      <c r="N10" s="496">
        <f t="shared" si="2"/>
        <v>0</v>
      </c>
    </row>
    <row r="11" spans="1:14" s="503" customFormat="1" ht="20.25" customHeight="1">
      <c r="A11" s="496">
        <v>3</v>
      </c>
      <c r="B11" s="496" t="s">
        <v>608</v>
      </c>
      <c r="C11" s="496"/>
      <c r="D11" s="496"/>
      <c r="E11" s="496"/>
      <c r="F11" s="496"/>
      <c r="G11" s="496"/>
      <c r="H11" s="496"/>
      <c r="I11" s="496">
        <f t="shared" si="0"/>
        <v>0</v>
      </c>
      <c r="J11" s="496">
        <v>0</v>
      </c>
      <c r="K11" s="496">
        <v>0</v>
      </c>
      <c r="L11" s="496">
        <f t="shared" si="1"/>
        <v>0</v>
      </c>
      <c r="M11" s="496">
        <f t="shared" si="2"/>
        <v>0</v>
      </c>
      <c r="N11" s="496">
        <f t="shared" si="2"/>
        <v>0</v>
      </c>
    </row>
    <row r="12" spans="1:14" s="503" customFormat="1" ht="20.25" customHeight="1">
      <c r="A12" s="496">
        <v>4</v>
      </c>
      <c r="B12" s="496" t="s">
        <v>609</v>
      </c>
      <c r="C12" s="496"/>
      <c r="D12" s="496"/>
      <c r="E12" s="496"/>
      <c r="F12" s="496"/>
      <c r="G12" s="496"/>
      <c r="H12" s="496"/>
      <c r="I12" s="496">
        <f t="shared" si="0"/>
        <v>0</v>
      </c>
      <c r="J12" s="496">
        <v>0</v>
      </c>
      <c r="K12" s="496">
        <v>0</v>
      </c>
      <c r="L12" s="496">
        <f t="shared" si="1"/>
        <v>0</v>
      </c>
      <c r="M12" s="496">
        <f t="shared" si="2"/>
        <v>0</v>
      </c>
      <c r="N12" s="496">
        <f t="shared" si="2"/>
        <v>0</v>
      </c>
    </row>
    <row r="13" spans="1:14" s="503" customFormat="1" ht="20.25" customHeight="1">
      <c r="A13" s="496">
        <v>5</v>
      </c>
      <c r="B13" s="508" t="s">
        <v>610</v>
      </c>
      <c r="C13" s="496"/>
      <c r="D13" s="496"/>
      <c r="E13" s="496"/>
      <c r="F13" s="496"/>
      <c r="G13" s="496"/>
      <c r="H13" s="496"/>
      <c r="I13" s="496">
        <v>0</v>
      </c>
      <c r="J13" s="496">
        <v>0</v>
      </c>
      <c r="K13" s="496">
        <v>0</v>
      </c>
      <c r="L13" s="496">
        <v>0</v>
      </c>
      <c r="M13" s="496">
        <v>0</v>
      </c>
      <c r="N13" s="496">
        <v>0</v>
      </c>
    </row>
    <row r="14" spans="1:14" s="503" customFormat="1" ht="20.25" customHeight="1">
      <c r="A14" s="496">
        <v>6</v>
      </c>
      <c r="B14" s="496" t="s">
        <v>611</v>
      </c>
      <c r="C14" s="496"/>
      <c r="D14" s="496"/>
      <c r="E14" s="496"/>
      <c r="F14" s="496"/>
      <c r="G14" s="496"/>
      <c r="H14" s="496"/>
      <c r="I14" s="496">
        <f>G14+H14</f>
        <v>0</v>
      </c>
      <c r="J14" s="496">
        <v>0</v>
      </c>
      <c r="K14" s="496">
        <v>0</v>
      </c>
      <c r="L14" s="496">
        <f>F14-J14</f>
        <v>0</v>
      </c>
      <c r="M14" s="496">
        <f t="shared" ref="M14:N18" si="3">I14-J14</f>
        <v>0</v>
      </c>
      <c r="N14" s="496">
        <f t="shared" si="3"/>
        <v>0</v>
      </c>
    </row>
    <row r="15" spans="1:14" s="503" customFormat="1" ht="20.25" customHeight="1">
      <c r="A15" s="496">
        <v>7</v>
      </c>
      <c r="B15" s="496" t="s">
        <v>612</v>
      </c>
      <c r="C15" s="496"/>
      <c r="D15" s="496"/>
      <c r="E15" s="496"/>
      <c r="F15" s="496"/>
      <c r="G15" s="496"/>
      <c r="H15" s="496"/>
      <c r="I15" s="496">
        <f>G15+H15</f>
        <v>0</v>
      </c>
      <c r="J15" s="496">
        <v>0</v>
      </c>
      <c r="K15" s="496">
        <v>0</v>
      </c>
      <c r="L15" s="496">
        <f>F15-J15</f>
        <v>0</v>
      </c>
      <c r="M15" s="496">
        <f t="shared" si="3"/>
        <v>0</v>
      </c>
      <c r="N15" s="496">
        <f t="shared" si="3"/>
        <v>0</v>
      </c>
    </row>
    <row r="16" spans="1:14" s="503" customFormat="1" ht="20.25" customHeight="1">
      <c r="A16" s="496">
        <v>8</v>
      </c>
      <c r="B16" s="496" t="s">
        <v>613</v>
      </c>
      <c r="C16" s="496"/>
      <c r="D16" s="496"/>
      <c r="E16" s="496"/>
      <c r="F16" s="496"/>
      <c r="G16" s="496"/>
      <c r="H16" s="496"/>
      <c r="I16" s="496">
        <f>G16+H16</f>
        <v>0</v>
      </c>
      <c r="J16" s="496">
        <v>0</v>
      </c>
      <c r="K16" s="496">
        <v>0</v>
      </c>
      <c r="L16" s="496">
        <f>F16-J16</f>
        <v>0</v>
      </c>
      <c r="M16" s="496">
        <f>I16-J16</f>
        <v>0</v>
      </c>
      <c r="N16" s="496">
        <f>J16-K16</f>
        <v>0</v>
      </c>
    </row>
    <row r="17" spans="1:14" s="503" customFormat="1" ht="20.25" customHeight="1">
      <c r="A17" s="496">
        <v>9</v>
      </c>
      <c r="B17" s="496" t="s">
        <v>614</v>
      </c>
      <c r="C17" s="496"/>
      <c r="D17" s="496"/>
      <c r="E17" s="496"/>
      <c r="F17" s="496"/>
      <c r="G17" s="496"/>
      <c r="H17" s="496"/>
      <c r="I17" s="496">
        <f>G17+H17</f>
        <v>0</v>
      </c>
      <c r="J17" s="496">
        <v>0</v>
      </c>
      <c r="K17" s="496">
        <v>0</v>
      </c>
      <c r="L17" s="496">
        <f>F17-J17</f>
        <v>0</v>
      </c>
      <c r="M17" s="496">
        <f t="shared" si="3"/>
        <v>0</v>
      </c>
      <c r="N17" s="496">
        <f t="shared" si="3"/>
        <v>0</v>
      </c>
    </row>
    <row r="18" spans="1:14" s="503" customFormat="1" ht="20.25" customHeight="1">
      <c r="A18" s="496">
        <v>10</v>
      </c>
      <c r="B18" s="496" t="s">
        <v>615</v>
      </c>
      <c r="C18" s="496"/>
      <c r="D18" s="496"/>
      <c r="E18" s="496"/>
      <c r="F18" s="496"/>
      <c r="G18" s="496"/>
      <c r="H18" s="496"/>
      <c r="I18" s="496">
        <f>G18+H18</f>
        <v>0</v>
      </c>
      <c r="J18" s="496">
        <v>0</v>
      </c>
      <c r="K18" s="496">
        <v>0</v>
      </c>
      <c r="L18" s="496">
        <f>F18-J18</f>
        <v>0</v>
      </c>
      <c r="M18" s="496">
        <f t="shared" si="3"/>
        <v>0</v>
      </c>
      <c r="N18" s="496">
        <f t="shared" si="3"/>
        <v>0</v>
      </c>
    </row>
    <row r="19" spans="1:14" s="511" customFormat="1" ht="21.75" customHeight="1">
      <c r="A19" s="510"/>
      <c r="B19" s="510" t="s">
        <v>409</v>
      </c>
      <c r="C19" s="510">
        <f>SUM(C8:C18)-C8</f>
        <v>0</v>
      </c>
      <c r="D19" s="510">
        <f t="shared" ref="D19:N19" si="4">SUM(D8:D18)-D8</f>
        <v>0</v>
      </c>
      <c r="E19" s="510">
        <f t="shared" si="4"/>
        <v>0</v>
      </c>
      <c r="F19" s="510">
        <f t="shared" si="4"/>
        <v>0</v>
      </c>
      <c r="G19" s="510">
        <f t="shared" si="4"/>
        <v>0</v>
      </c>
      <c r="H19" s="510">
        <f t="shared" si="4"/>
        <v>0</v>
      </c>
      <c r="I19" s="510">
        <f t="shared" si="4"/>
        <v>0</v>
      </c>
      <c r="J19" s="510">
        <f t="shared" si="4"/>
        <v>985470</v>
      </c>
      <c r="K19" s="510">
        <f t="shared" si="4"/>
        <v>1011302</v>
      </c>
      <c r="L19" s="510">
        <f t="shared" si="4"/>
        <v>-985470</v>
      </c>
      <c r="M19" s="510">
        <f t="shared" si="4"/>
        <v>-985470</v>
      </c>
      <c r="N19" s="510">
        <f t="shared" si="4"/>
        <v>-25832</v>
      </c>
    </row>
    <row r="21" spans="1:14" ht="18.75">
      <c r="K21" s="587" t="str">
        <f>Master!C2</f>
        <v>iz/kkukpk;Z</v>
      </c>
      <c r="L21" s="587"/>
      <c r="M21" s="587"/>
      <c r="N21" s="587"/>
    </row>
    <row r="22" spans="1:14" ht="21" customHeight="1">
      <c r="K22" s="774" t="str">
        <f>Master!D2</f>
        <v>jktdh; vkn'kZ mPp ek/;fed fo|ky; bdygjk ¼ Mhx ½</v>
      </c>
      <c r="L22" s="774"/>
      <c r="M22" s="774"/>
      <c r="N22" s="774"/>
    </row>
    <row r="23" spans="1:14" ht="15" customHeight="1">
      <c r="K23" s="774"/>
      <c r="L23" s="774"/>
      <c r="M23" s="774"/>
      <c r="N23" s="774"/>
    </row>
    <row r="24" spans="1:14" ht="15.75">
      <c r="K24" s="512"/>
    </row>
  </sheetData>
  <mergeCells count="20">
    <mergeCell ref="A4:C4"/>
    <mergeCell ref="D4:N4"/>
    <mergeCell ref="A1:L1"/>
    <mergeCell ref="M1:N1"/>
    <mergeCell ref="A2:L2"/>
    <mergeCell ref="M2:N2"/>
    <mergeCell ref="A3:N3"/>
    <mergeCell ref="F5:N5"/>
    <mergeCell ref="D5:E5"/>
    <mergeCell ref="K21:N21"/>
    <mergeCell ref="K22:N23"/>
    <mergeCell ref="A5:C5"/>
    <mergeCell ref="A6:A7"/>
    <mergeCell ref="B6:B7"/>
    <mergeCell ref="C6:E6"/>
    <mergeCell ref="F6:F7"/>
    <mergeCell ref="G6:I6"/>
    <mergeCell ref="J6:J7"/>
    <mergeCell ref="K6:K7"/>
    <mergeCell ref="L6:N6"/>
  </mergeCells>
  <pageMargins left="0.7" right="0.7" top="0.75" bottom="0.75" header="0.3" footer="0.3"/>
  <pageSetup paperSize="9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N22"/>
  <sheetViews>
    <sheetView workbookViewId="0">
      <selection activeCell="P22" sqref="P22"/>
    </sheetView>
  </sheetViews>
  <sheetFormatPr defaultRowHeight="15"/>
  <cols>
    <col min="1" max="1" width="5.140625" style="488" customWidth="1"/>
    <col min="2" max="2" width="17.140625" style="486" customWidth="1"/>
    <col min="3" max="5" width="9.140625" style="488"/>
    <col min="6" max="6" width="10.28515625" style="488" customWidth="1"/>
    <col min="7" max="9" width="9.140625" style="488"/>
    <col min="10" max="10" width="9.85546875" style="488" customWidth="1"/>
    <col min="11" max="11" width="9.140625" style="488"/>
    <col min="12" max="14" width="10" style="488" customWidth="1"/>
    <col min="15" max="256" width="9.140625" style="486"/>
    <col min="257" max="257" width="5.140625" style="486" customWidth="1"/>
    <col min="258" max="258" width="17.140625" style="486" customWidth="1"/>
    <col min="259" max="261" width="9.140625" style="486"/>
    <col min="262" max="262" width="10.28515625" style="486" customWidth="1"/>
    <col min="263" max="265" width="9.140625" style="486"/>
    <col min="266" max="266" width="9.85546875" style="486" customWidth="1"/>
    <col min="267" max="267" width="9.140625" style="486"/>
    <col min="268" max="270" width="10" style="486" customWidth="1"/>
    <col min="271" max="512" width="9.140625" style="486"/>
    <col min="513" max="513" width="5.140625" style="486" customWidth="1"/>
    <col min="514" max="514" width="17.140625" style="486" customWidth="1"/>
    <col min="515" max="517" width="9.140625" style="486"/>
    <col min="518" max="518" width="10.28515625" style="486" customWidth="1"/>
    <col min="519" max="521" width="9.140625" style="486"/>
    <col min="522" max="522" width="9.85546875" style="486" customWidth="1"/>
    <col min="523" max="523" width="9.140625" style="486"/>
    <col min="524" max="526" width="10" style="486" customWidth="1"/>
    <col min="527" max="768" width="9.140625" style="486"/>
    <col min="769" max="769" width="5.140625" style="486" customWidth="1"/>
    <col min="770" max="770" width="17.140625" style="486" customWidth="1"/>
    <col min="771" max="773" width="9.140625" style="486"/>
    <col min="774" max="774" width="10.28515625" style="486" customWidth="1"/>
    <col min="775" max="777" width="9.140625" style="486"/>
    <col min="778" max="778" width="9.85546875" style="486" customWidth="1"/>
    <col min="779" max="779" width="9.140625" style="486"/>
    <col min="780" max="782" width="10" style="486" customWidth="1"/>
    <col min="783" max="1024" width="9.140625" style="486"/>
    <col min="1025" max="1025" width="5.140625" style="486" customWidth="1"/>
    <col min="1026" max="1026" width="17.140625" style="486" customWidth="1"/>
    <col min="1027" max="1029" width="9.140625" style="486"/>
    <col min="1030" max="1030" width="10.28515625" style="486" customWidth="1"/>
    <col min="1031" max="1033" width="9.140625" style="486"/>
    <col min="1034" max="1034" width="9.85546875" style="486" customWidth="1"/>
    <col min="1035" max="1035" width="9.140625" style="486"/>
    <col min="1036" max="1038" width="10" style="486" customWidth="1"/>
    <col min="1039" max="1280" width="9.140625" style="486"/>
    <col min="1281" max="1281" width="5.140625" style="486" customWidth="1"/>
    <col min="1282" max="1282" width="17.140625" style="486" customWidth="1"/>
    <col min="1283" max="1285" width="9.140625" style="486"/>
    <col min="1286" max="1286" width="10.28515625" style="486" customWidth="1"/>
    <col min="1287" max="1289" width="9.140625" style="486"/>
    <col min="1290" max="1290" width="9.85546875" style="486" customWidth="1"/>
    <col min="1291" max="1291" width="9.140625" style="486"/>
    <col min="1292" max="1294" width="10" style="486" customWidth="1"/>
    <col min="1295" max="1536" width="9.140625" style="486"/>
    <col min="1537" max="1537" width="5.140625" style="486" customWidth="1"/>
    <col min="1538" max="1538" width="17.140625" style="486" customWidth="1"/>
    <col min="1539" max="1541" width="9.140625" style="486"/>
    <col min="1542" max="1542" width="10.28515625" style="486" customWidth="1"/>
    <col min="1543" max="1545" width="9.140625" style="486"/>
    <col min="1546" max="1546" width="9.85546875" style="486" customWidth="1"/>
    <col min="1547" max="1547" width="9.140625" style="486"/>
    <col min="1548" max="1550" width="10" style="486" customWidth="1"/>
    <col min="1551" max="1792" width="9.140625" style="486"/>
    <col min="1793" max="1793" width="5.140625" style="486" customWidth="1"/>
    <col min="1794" max="1794" width="17.140625" style="486" customWidth="1"/>
    <col min="1795" max="1797" width="9.140625" style="486"/>
    <col min="1798" max="1798" width="10.28515625" style="486" customWidth="1"/>
    <col min="1799" max="1801" width="9.140625" style="486"/>
    <col min="1802" max="1802" width="9.85546875" style="486" customWidth="1"/>
    <col min="1803" max="1803" width="9.140625" style="486"/>
    <col min="1804" max="1806" width="10" style="486" customWidth="1"/>
    <col min="1807" max="2048" width="9.140625" style="486"/>
    <col min="2049" max="2049" width="5.140625" style="486" customWidth="1"/>
    <col min="2050" max="2050" width="17.140625" style="486" customWidth="1"/>
    <col min="2051" max="2053" width="9.140625" style="486"/>
    <col min="2054" max="2054" width="10.28515625" style="486" customWidth="1"/>
    <col min="2055" max="2057" width="9.140625" style="486"/>
    <col min="2058" max="2058" width="9.85546875" style="486" customWidth="1"/>
    <col min="2059" max="2059" width="9.140625" style="486"/>
    <col min="2060" max="2062" width="10" style="486" customWidth="1"/>
    <col min="2063" max="2304" width="9.140625" style="486"/>
    <col min="2305" max="2305" width="5.140625" style="486" customWidth="1"/>
    <col min="2306" max="2306" width="17.140625" style="486" customWidth="1"/>
    <col min="2307" max="2309" width="9.140625" style="486"/>
    <col min="2310" max="2310" width="10.28515625" style="486" customWidth="1"/>
    <col min="2311" max="2313" width="9.140625" style="486"/>
    <col min="2314" max="2314" width="9.85546875" style="486" customWidth="1"/>
    <col min="2315" max="2315" width="9.140625" style="486"/>
    <col min="2316" max="2318" width="10" style="486" customWidth="1"/>
    <col min="2319" max="2560" width="9.140625" style="486"/>
    <col min="2561" max="2561" width="5.140625" style="486" customWidth="1"/>
    <col min="2562" max="2562" width="17.140625" style="486" customWidth="1"/>
    <col min="2563" max="2565" width="9.140625" style="486"/>
    <col min="2566" max="2566" width="10.28515625" style="486" customWidth="1"/>
    <col min="2567" max="2569" width="9.140625" style="486"/>
    <col min="2570" max="2570" width="9.85546875" style="486" customWidth="1"/>
    <col min="2571" max="2571" width="9.140625" style="486"/>
    <col min="2572" max="2574" width="10" style="486" customWidth="1"/>
    <col min="2575" max="2816" width="9.140625" style="486"/>
    <col min="2817" max="2817" width="5.140625" style="486" customWidth="1"/>
    <col min="2818" max="2818" width="17.140625" style="486" customWidth="1"/>
    <col min="2819" max="2821" width="9.140625" style="486"/>
    <col min="2822" max="2822" width="10.28515625" style="486" customWidth="1"/>
    <col min="2823" max="2825" width="9.140625" style="486"/>
    <col min="2826" max="2826" width="9.85546875" style="486" customWidth="1"/>
    <col min="2827" max="2827" width="9.140625" style="486"/>
    <col min="2828" max="2830" width="10" style="486" customWidth="1"/>
    <col min="2831" max="3072" width="9.140625" style="486"/>
    <col min="3073" max="3073" width="5.140625" style="486" customWidth="1"/>
    <col min="3074" max="3074" width="17.140625" style="486" customWidth="1"/>
    <col min="3075" max="3077" width="9.140625" style="486"/>
    <col min="3078" max="3078" width="10.28515625" style="486" customWidth="1"/>
    <col min="3079" max="3081" width="9.140625" style="486"/>
    <col min="3082" max="3082" width="9.85546875" style="486" customWidth="1"/>
    <col min="3083" max="3083" width="9.140625" style="486"/>
    <col min="3084" max="3086" width="10" style="486" customWidth="1"/>
    <col min="3087" max="3328" width="9.140625" style="486"/>
    <col min="3329" max="3329" width="5.140625" style="486" customWidth="1"/>
    <col min="3330" max="3330" width="17.140625" style="486" customWidth="1"/>
    <col min="3331" max="3333" width="9.140625" style="486"/>
    <col min="3334" max="3334" width="10.28515625" style="486" customWidth="1"/>
    <col min="3335" max="3337" width="9.140625" style="486"/>
    <col min="3338" max="3338" width="9.85546875" style="486" customWidth="1"/>
    <col min="3339" max="3339" width="9.140625" style="486"/>
    <col min="3340" max="3342" width="10" style="486" customWidth="1"/>
    <col min="3343" max="3584" width="9.140625" style="486"/>
    <col min="3585" max="3585" width="5.140625" style="486" customWidth="1"/>
    <col min="3586" max="3586" width="17.140625" style="486" customWidth="1"/>
    <col min="3587" max="3589" width="9.140625" style="486"/>
    <col min="3590" max="3590" width="10.28515625" style="486" customWidth="1"/>
    <col min="3591" max="3593" width="9.140625" style="486"/>
    <col min="3594" max="3594" width="9.85546875" style="486" customWidth="1"/>
    <col min="3595" max="3595" width="9.140625" style="486"/>
    <col min="3596" max="3598" width="10" style="486" customWidth="1"/>
    <col min="3599" max="3840" width="9.140625" style="486"/>
    <col min="3841" max="3841" width="5.140625" style="486" customWidth="1"/>
    <col min="3842" max="3842" width="17.140625" style="486" customWidth="1"/>
    <col min="3843" max="3845" width="9.140625" style="486"/>
    <col min="3846" max="3846" width="10.28515625" style="486" customWidth="1"/>
    <col min="3847" max="3849" width="9.140625" style="486"/>
    <col min="3850" max="3850" width="9.85546875" style="486" customWidth="1"/>
    <col min="3851" max="3851" width="9.140625" style="486"/>
    <col min="3852" max="3854" width="10" style="486" customWidth="1"/>
    <col min="3855" max="4096" width="9.140625" style="486"/>
    <col min="4097" max="4097" width="5.140625" style="486" customWidth="1"/>
    <col min="4098" max="4098" width="17.140625" style="486" customWidth="1"/>
    <col min="4099" max="4101" width="9.140625" style="486"/>
    <col min="4102" max="4102" width="10.28515625" style="486" customWidth="1"/>
    <col min="4103" max="4105" width="9.140625" style="486"/>
    <col min="4106" max="4106" width="9.85546875" style="486" customWidth="1"/>
    <col min="4107" max="4107" width="9.140625" style="486"/>
    <col min="4108" max="4110" width="10" style="486" customWidth="1"/>
    <col min="4111" max="4352" width="9.140625" style="486"/>
    <col min="4353" max="4353" width="5.140625" style="486" customWidth="1"/>
    <col min="4354" max="4354" width="17.140625" style="486" customWidth="1"/>
    <col min="4355" max="4357" width="9.140625" style="486"/>
    <col min="4358" max="4358" width="10.28515625" style="486" customWidth="1"/>
    <col min="4359" max="4361" width="9.140625" style="486"/>
    <col min="4362" max="4362" width="9.85546875" style="486" customWidth="1"/>
    <col min="4363" max="4363" width="9.140625" style="486"/>
    <col min="4364" max="4366" width="10" style="486" customWidth="1"/>
    <col min="4367" max="4608" width="9.140625" style="486"/>
    <col min="4609" max="4609" width="5.140625" style="486" customWidth="1"/>
    <col min="4610" max="4610" width="17.140625" style="486" customWidth="1"/>
    <col min="4611" max="4613" width="9.140625" style="486"/>
    <col min="4614" max="4614" width="10.28515625" style="486" customWidth="1"/>
    <col min="4615" max="4617" width="9.140625" style="486"/>
    <col min="4618" max="4618" width="9.85546875" style="486" customWidth="1"/>
    <col min="4619" max="4619" width="9.140625" style="486"/>
    <col min="4620" max="4622" width="10" style="486" customWidth="1"/>
    <col min="4623" max="4864" width="9.140625" style="486"/>
    <col min="4865" max="4865" width="5.140625" style="486" customWidth="1"/>
    <col min="4866" max="4866" width="17.140625" style="486" customWidth="1"/>
    <col min="4867" max="4869" width="9.140625" style="486"/>
    <col min="4870" max="4870" width="10.28515625" style="486" customWidth="1"/>
    <col min="4871" max="4873" width="9.140625" style="486"/>
    <col min="4874" max="4874" width="9.85546875" style="486" customWidth="1"/>
    <col min="4875" max="4875" width="9.140625" style="486"/>
    <col min="4876" max="4878" width="10" style="486" customWidth="1"/>
    <col min="4879" max="5120" width="9.140625" style="486"/>
    <col min="5121" max="5121" width="5.140625" style="486" customWidth="1"/>
    <col min="5122" max="5122" width="17.140625" style="486" customWidth="1"/>
    <col min="5123" max="5125" width="9.140625" style="486"/>
    <col min="5126" max="5126" width="10.28515625" style="486" customWidth="1"/>
    <col min="5127" max="5129" width="9.140625" style="486"/>
    <col min="5130" max="5130" width="9.85546875" style="486" customWidth="1"/>
    <col min="5131" max="5131" width="9.140625" style="486"/>
    <col min="5132" max="5134" width="10" style="486" customWidth="1"/>
    <col min="5135" max="5376" width="9.140625" style="486"/>
    <col min="5377" max="5377" width="5.140625" style="486" customWidth="1"/>
    <col min="5378" max="5378" width="17.140625" style="486" customWidth="1"/>
    <col min="5379" max="5381" width="9.140625" style="486"/>
    <col min="5382" max="5382" width="10.28515625" style="486" customWidth="1"/>
    <col min="5383" max="5385" width="9.140625" style="486"/>
    <col min="5386" max="5386" width="9.85546875" style="486" customWidth="1"/>
    <col min="5387" max="5387" width="9.140625" style="486"/>
    <col min="5388" max="5390" width="10" style="486" customWidth="1"/>
    <col min="5391" max="5632" width="9.140625" style="486"/>
    <col min="5633" max="5633" width="5.140625" style="486" customWidth="1"/>
    <col min="5634" max="5634" width="17.140625" style="486" customWidth="1"/>
    <col min="5635" max="5637" width="9.140625" style="486"/>
    <col min="5638" max="5638" width="10.28515625" style="486" customWidth="1"/>
    <col min="5639" max="5641" width="9.140625" style="486"/>
    <col min="5642" max="5642" width="9.85546875" style="486" customWidth="1"/>
    <col min="5643" max="5643" width="9.140625" style="486"/>
    <col min="5644" max="5646" width="10" style="486" customWidth="1"/>
    <col min="5647" max="5888" width="9.140625" style="486"/>
    <col min="5889" max="5889" width="5.140625" style="486" customWidth="1"/>
    <col min="5890" max="5890" width="17.140625" style="486" customWidth="1"/>
    <col min="5891" max="5893" width="9.140625" style="486"/>
    <col min="5894" max="5894" width="10.28515625" style="486" customWidth="1"/>
    <col min="5895" max="5897" width="9.140625" style="486"/>
    <col min="5898" max="5898" width="9.85546875" style="486" customWidth="1"/>
    <col min="5899" max="5899" width="9.140625" style="486"/>
    <col min="5900" max="5902" width="10" style="486" customWidth="1"/>
    <col min="5903" max="6144" width="9.140625" style="486"/>
    <col min="6145" max="6145" width="5.140625" style="486" customWidth="1"/>
    <col min="6146" max="6146" width="17.140625" style="486" customWidth="1"/>
    <col min="6147" max="6149" width="9.140625" style="486"/>
    <col min="6150" max="6150" width="10.28515625" style="486" customWidth="1"/>
    <col min="6151" max="6153" width="9.140625" style="486"/>
    <col min="6154" max="6154" width="9.85546875" style="486" customWidth="1"/>
    <col min="6155" max="6155" width="9.140625" style="486"/>
    <col min="6156" max="6158" width="10" style="486" customWidth="1"/>
    <col min="6159" max="6400" width="9.140625" style="486"/>
    <col min="6401" max="6401" width="5.140625" style="486" customWidth="1"/>
    <col min="6402" max="6402" width="17.140625" style="486" customWidth="1"/>
    <col min="6403" max="6405" width="9.140625" style="486"/>
    <col min="6406" max="6406" width="10.28515625" style="486" customWidth="1"/>
    <col min="6407" max="6409" width="9.140625" style="486"/>
    <col min="6410" max="6410" width="9.85546875" style="486" customWidth="1"/>
    <col min="6411" max="6411" width="9.140625" style="486"/>
    <col min="6412" max="6414" width="10" style="486" customWidth="1"/>
    <col min="6415" max="6656" width="9.140625" style="486"/>
    <col min="6657" max="6657" width="5.140625" style="486" customWidth="1"/>
    <col min="6658" max="6658" width="17.140625" style="486" customWidth="1"/>
    <col min="6659" max="6661" width="9.140625" style="486"/>
    <col min="6662" max="6662" width="10.28515625" style="486" customWidth="1"/>
    <col min="6663" max="6665" width="9.140625" style="486"/>
    <col min="6666" max="6666" width="9.85546875" style="486" customWidth="1"/>
    <col min="6667" max="6667" width="9.140625" style="486"/>
    <col min="6668" max="6670" width="10" style="486" customWidth="1"/>
    <col min="6671" max="6912" width="9.140625" style="486"/>
    <col min="6913" max="6913" width="5.140625" style="486" customWidth="1"/>
    <col min="6914" max="6914" width="17.140625" style="486" customWidth="1"/>
    <col min="6915" max="6917" width="9.140625" style="486"/>
    <col min="6918" max="6918" width="10.28515625" style="486" customWidth="1"/>
    <col min="6919" max="6921" width="9.140625" style="486"/>
    <col min="6922" max="6922" width="9.85546875" style="486" customWidth="1"/>
    <col min="6923" max="6923" width="9.140625" style="486"/>
    <col min="6924" max="6926" width="10" style="486" customWidth="1"/>
    <col min="6927" max="7168" width="9.140625" style="486"/>
    <col min="7169" max="7169" width="5.140625" style="486" customWidth="1"/>
    <col min="7170" max="7170" width="17.140625" style="486" customWidth="1"/>
    <col min="7171" max="7173" width="9.140625" style="486"/>
    <col min="7174" max="7174" width="10.28515625" style="486" customWidth="1"/>
    <col min="7175" max="7177" width="9.140625" style="486"/>
    <col min="7178" max="7178" width="9.85546875" style="486" customWidth="1"/>
    <col min="7179" max="7179" width="9.140625" style="486"/>
    <col min="7180" max="7182" width="10" style="486" customWidth="1"/>
    <col min="7183" max="7424" width="9.140625" style="486"/>
    <col min="7425" max="7425" width="5.140625" style="486" customWidth="1"/>
    <col min="7426" max="7426" width="17.140625" style="486" customWidth="1"/>
    <col min="7427" max="7429" width="9.140625" style="486"/>
    <col min="7430" max="7430" width="10.28515625" style="486" customWidth="1"/>
    <col min="7431" max="7433" width="9.140625" style="486"/>
    <col min="7434" max="7434" width="9.85546875" style="486" customWidth="1"/>
    <col min="7435" max="7435" width="9.140625" style="486"/>
    <col min="7436" max="7438" width="10" style="486" customWidth="1"/>
    <col min="7439" max="7680" width="9.140625" style="486"/>
    <col min="7681" max="7681" width="5.140625" style="486" customWidth="1"/>
    <col min="7682" max="7682" width="17.140625" style="486" customWidth="1"/>
    <col min="7683" max="7685" width="9.140625" style="486"/>
    <col min="7686" max="7686" width="10.28515625" style="486" customWidth="1"/>
    <col min="7687" max="7689" width="9.140625" style="486"/>
    <col min="7690" max="7690" width="9.85546875" style="486" customWidth="1"/>
    <col min="7691" max="7691" width="9.140625" style="486"/>
    <col min="7692" max="7694" width="10" style="486" customWidth="1"/>
    <col min="7695" max="7936" width="9.140625" style="486"/>
    <col min="7937" max="7937" width="5.140625" style="486" customWidth="1"/>
    <col min="7938" max="7938" width="17.140625" style="486" customWidth="1"/>
    <col min="7939" max="7941" width="9.140625" style="486"/>
    <col min="7942" max="7942" width="10.28515625" style="486" customWidth="1"/>
    <col min="7943" max="7945" width="9.140625" style="486"/>
    <col min="7946" max="7946" width="9.85546875" style="486" customWidth="1"/>
    <col min="7947" max="7947" width="9.140625" style="486"/>
    <col min="7948" max="7950" width="10" style="486" customWidth="1"/>
    <col min="7951" max="8192" width="9.140625" style="486"/>
    <col min="8193" max="8193" width="5.140625" style="486" customWidth="1"/>
    <col min="8194" max="8194" width="17.140625" style="486" customWidth="1"/>
    <col min="8195" max="8197" width="9.140625" style="486"/>
    <col min="8198" max="8198" width="10.28515625" style="486" customWidth="1"/>
    <col min="8199" max="8201" width="9.140625" style="486"/>
    <col min="8202" max="8202" width="9.85546875" style="486" customWidth="1"/>
    <col min="8203" max="8203" width="9.140625" style="486"/>
    <col min="8204" max="8206" width="10" style="486" customWidth="1"/>
    <col min="8207" max="8448" width="9.140625" style="486"/>
    <col min="8449" max="8449" width="5.140625" style="486" customWidth="1"/>
    <col min="8450" max="8450" width="17.140625" style="486" customWidth="1"/>
    <col min="8451" max="8453" width="9.140625" style="486"/>
    <col min="8454" max="8454" width="10.28515625" style="486" customWidth="1"/>
    <col min="8455" max="8457" width="9.140625" style="486"/>
    <col min="8458" max="8458" width="9.85546875" style="486" customWidth="1"/>
    <col min="8459" max="8459" width="9.140625" style="486"/>
    <col min="8460" max="8462" width="10" style="486" customWidth="1"/>
    <col min="8463" max="8704" width="9.140625" style="486"/>
    <col min="8705" max="8705" width="5.140625" style="486" customWidth="1"/>
    <col min="8706" max="8706" width="17.140625" style="486" customWidth="1"/>
    <col min="8707" max="8709" width="9.140625" style="486"/>
    <col min="8710" max="8710" width="10.28515625" style="486" customWidth="1"/>
    <col min="8711" max="8713" width="9.140625" style="486"/>
    <col min="8714" max="8714" width="9.85546875" style="486" customWidth="1"/>
    <col min="8715" max="8715" width="9.140625" style="486"/>
    <col min="8716" max="8718" width="10" style="486" customWidth="1"/>
    <col min="8719" max="8960" width="9.140625" style="486"/>
    <col min="8961" max="8961" width="5.140625" style="486" customWidth="1"/>
    <col min="8962" max="8962" width="17.140625" style="486" customWidth="1"/>
    <col min="8963" max="8965" width="9.140625" style="486"/>
    <col min="8966" max="8966" width="10.28515625" style="486" customWidth="1"/>
    <col min="8967" max="8969" width="9.140625" style="486"/>
    <col min="8970" max="8970" width="9.85546875" style="486" customWidth="1"/>
    <col min="8971" max="8971" width="9.140625" style="486"/>
    <col min="8972" max="8974" width="10" style="486" customWidth="1"/>
    <col min="8975" max="9216" width="9.140625" style="486"/>
    <col min="9217" max="9217" width="5.140625" style="486" customWidth="1"/>
    <col min="9218" max="9218" width="17.140625" style="486" customWidth="1"/>
    <col min="9219" max="9221" width="9.140625" style="486"/>
    <col min="9222" max="9222" width="10.28515625" style="486" customWidth="1"/>
    <col min="9223" max="9225" width="9.140625" style="486"/>
    <col min="9226" max="9226" width="9.85546875" style="486" customWidth="1"/>
    <col min="9227" max="9227" width="9.140625" style="486"/>
    <col min="9228" max="9230" width="10" style="486" customWidth="1"/>
    <col min="9231" max="9472" width="9.140625" style="486"/>
    <col min="9473" max="9473" width="5.140625" style="486" customWidth="1"/>
    <col min="9474" max="9474" width="17.140625" style="486" customWidth="1"/>
    <col min="9475" max="9477" width="9.140625" style="486"/>
    <col min="9478" max="9478" width="10.28515625" style="486" customWidth="1"/>
    <col min="9479" max="9481" width="9.140625" style="486"/>
    <col min="9482" max="9482" width="9.85546875" style="486" customWidth="1"/>
    <col min="9483" max="9483" width="9.140625" style="486"/>
    <col min="9484" max="9486" width="10" style="486" customWidth="1"/>
    <col min="9487" max="9728" width="9.140625" style="486"/>
    <col min="9729" max="9729" width="5.140625" style="486" customWidth="1"/>
    <col min="9730" max="9730" width="17.140625" style="486" customWidth="1"/>
    <col min="9731" max="9733" width="9.140625" style="486"/>
    <col min="9734" max="9734" width="10.28515625" style="486" customWidth="1"/>
    <col min="9735" max="9737" width="9.140625" style="486"/>
    <col min="9738" max="9738" width="9.85546875" style="486" customWidth="1"/>
    <col min="9739" max="9739" width="9.140625" style="486"/>
    <col min="9740" max="9742" width="10" style="486" customWidth="1"/>
    <col min="9743" max="9984" width="9.140625" style="486"/>
    <col min="9985" max="9985" width="5.140625" style="486" customWidth="1"/>
    <col min="9986" max="9986" width="17.140625" style="486" customWidth="1"/>
    <col min="9987" max="9989" width="9.140625" style="486"/>
    <col min="9990" max="9990" width="10.28515625" style="486" customWidth="1"/>
    <col min="9991" max="9993" width="9.140625" style="486"/>
    <col min="9994" max="9994" width="9.85546875" style="486" customWidth="1"/>
    <col min="9995" max="9995" width="9.140625" style="486"/>
    <col min="9996" max="9998" width="10" style="486" customWidth="1"/>
    <col min="9999" max="10240" width="9.140625" style="486"/>
    <col min="10241" max="10241" width="5.140625" style="486" customWidth="1"/>
    <col min="10242" max="10242" width="17.140625" style="486" customWidth="1"/>
    <col min="10243" max="10245" width="9.140625" style="486"/>
    <col min="10246" max="10246" width="10.28515625" style="486" customWidth="1"/>
    <col min="10247" max="10249" width="9.140625" style="486"/>
    <col min="10250" max="10250" width="9.85546875" style="486" customWidth="1"/>
    <col min="10251" max="10251" width="9.140625" style="486"/>
    <col min="10252" max="10254" width="10" style="486" customWidth="1"/>
    <col min="10255" max="10496" width="9.140625" style="486"/>
    <col min="10497" max="10497" width="5.140625" style="486" customWidth="1"/>
    <col min="10498" max="10498" width="17.140625" style="486" customWidth="1"/>
    <col min="10499" max="10501" width="9.140625" style="486"/>
    <col min="10502" max="10502" width="10.28515625" style="486" customWidth="1"/>
    <col min="10503" max="10505" width="9.140625" style="486"/>
    <col min="10506" max="10506" width="9.85546875" style="486" customWidth="1"/>
    <col min="10507" max="10507" width="9.140625" style="486"/>
    <col min="10508" max="10510" width="10" style="486" customWidth="1"/>
    <col min="10511" max="10752" width="9.140625" style="486"/>
    <col min="10753" max="10753" width="5.140625" style="486" customWidth="1"/>
    <col min="10754" max="10754" width="17.140625" style="486" customWidth="1"/>
    <col min="10755" max="10757" width="9.140625" style="486"/>
    <col min="10758" max="10758" width="10.28515625" style="486" customWidth="1"/>
    <col min="10759" max="10761" width="9.140625" style="486"/>
    <col min="10762" max="10762" width="9.85546875" style="486" customWidth="1"/>
    <col min="10763" max="10763" width="9.140625" style="486"/>
    <col min="10764" max="10766" width="10" style="486" customWidth="1"/>
    <col min="10767" max="11008" width="9.140625" style="486"/>
    <col min="11009" max="11009" width="5.140625" style="486" customWidth="1"/>
    <col min="11010" max="11010" width="17.140625" style="486" customWidth="1"/>
    <col min="11011" max="11013" width="9.140625" style="486"/>
    <col min="11014" max="11014" width="10.28515625" style="486" customWidth="1"/>
    <col min="11015" max="11017" width="9.140625" style="486"/>
    <col min="11018" max="11018" width="9.85546875" style="486" customWidth="1"/>
    <col min="11019" max="11019" width="9.140625" style="486"/>
    <col min="11020" max="11022" width="10" style="486" customWidth="1"/>
    <col min="11023" max="11264" width="9.140625" style="486"/>
    <col min="11265" max="11265" width="5.140625" style="486" customWidth="1"/>
    <col min="11266" max="11266" width="17.140625" style="486" customWidth="1"/>
    <col min="11267" max="11269" width="9.140625" style="486"/>
    <col min="11270" max="11270" width="10.28515625" style="486" customWidth="1"/>
    <col min="11271" max="11273" width="9.140625" style="486"/>
    <col min="11274" max="11274" width="9.85546875" style="486" customWidth="1"/>
    <col min="11275" max="11275" width="9.140625" style="486"/>
    <col min="11276" max="11278" width="10" style="486" customWidth="1"/>
    <col min="11279" max="11520" width="9.140625" style="486"/>
    <col min="11521" max="11521" width="5.140625" style="486" customWidth="1"/>
    <col min="11522" max="11522" width="17.140625" style="486" customWidth="1"/>
    <col min="11523" max="11525" width="9.140625" style="486"/>
    <col min="11526" max="11526" width="10.28515625" style="486" customWidth="1"/>
    <col min="11527" max="11529" width="9.140625" style="486"/>
    <col min="11530" max="11530" width="9.85546875" style="486" customWidth="1"/>
    <col min="11531" max="11531" width="9.140625" style="486"/>
    <col min="11532" max="11534" width="10" style="486" customWidth="1"/>
    <col min="11535" max="11776" width="9.140625" style="486"/>
    <col min="11777" max="11777" width="5.140625" style="486" customWidth="1"/>
    <col min="11778" max="11778" width="17.140625" style="486" customWidth="1"/>
    <col min="11779" max="11781" width="9.140625" style="486"/>
    <col min="11782" max="11782" width="10.28515625" style="486" customWidth="1"/>
    <col min="11783" max="11785" width="9.140625" style="486"/>
    <col min="11786" max="11786" width="9.85546875" style="486" customWidth="1"/>
    <col min="11787" max="11787" width="9.140625" style="486"/>
    <col min="11788" max="11790" width="10" style="486" customWidth="1"/>
    <col min="11791" max="12032" width="9.140625" style="486"/>
    <col min="12033" max="12033" width="5.140625" style="486" customWidth="1"/>
    <col min="12034" max="12034" width="17.140625" style="486" customWidth="1"/>
    <col min="12035" max="12037" width="9.140625" style="486"/>
    <col min="12038" max="12038" width="10.28515625" style="486" customWidth="1"/>
    <col min="12039" max="12041" width="9.140625" style="486"/>
    <col min="12042" max="12042" width="9.85546875" style="486" customWidth="1"/>
    <col min="12043" max="12043" width="9.140625" style="486"/>
    <col min="12044" max="12046" width="10" style="486" customWidth="1"/>
    <col min="12047" max="12288" width="9.140625" style="486"/>
    <col min="12289" max="12289" width="5.140625" style="486" customWidth="1"/>
    <col min="12290" max="12290" width="17.140625" style="486" customWidth="1"/>
    <col min="12291" max="12293" width="9.140625" style="486"/>
    <col min="12294" max="12294" width="10.28515625" style="486" customWidth="1"/>
    <col min="12295" max="12297" width="9.140625" style="486"/>
    <col min="12298" max="12298" width="9.85546875" style="486" customWidth="1"/>
    <col min="12299" max="12299" width="9.140625" style="486"/>
    <col min="12300" max="12302" width="10" style="486" customWidth="1"/>
    <col min="12303" max="12544" width="9.140625" style="486"/>
    <col min="12545" max="12545" width="5.140625" style="486" customWidth="1"/>
    <col min="12546" max="12546" width="17.140625" style="486" customWidth="1"/>
    <col min="12547" max="12549" width="9.140625" style="486"/>
    <col min="12550" max="12550" width="10.28515625" style="486" customWidth="1"/>
    <col min="12551" max="12553" width="9.140625" style="486"/>
    <col min="12554" max="12554" width="9.85546875" style="486" customWidth="1"/>
    <col min="12555" max="12555" width="9.140625" style="486"/>
    <col min="12556" max="12558" width="10" style="486" customWidth="1"/>
    <col min="12559" max="12800" width="9.140625" style="486"/>
    <col min="12801" max="12801" width="5.140625" style="486" customWidth="1"/>
    <col min="12802" max="12802" width="17.140625" style="486" customWidth="1"/>
    <col min="12803" max="12805" width="9.140625" style="486"/>
    <col min="12806" max="12806" width="10.28515625" style="486" customWidth="1"/>
    <col min="12807" max="12809" width="9.140625" style="486"/>
    <col min="12810" max="12810" width="9.85546875" style="486" customWidth="1"/>
    <col min="12811" max="12811" width="9.140625" style="486"/>
    <col min="12812" max="12814" width="10" style="486" customWidth="1"/>
    <col min="12815" max="13056" width="9.140625" style="486"/>
    <col min="13057" max="13057" width="5.140625" style="486" customWidth="1"/>
    <col min="13058" max="13058" width="17.140625" style="486" customWidth="1"/>
    <col min="13059" max="13061" width="9.140625" style="486"/>
    <col min="13062" max="13062" width="10.28515625" style="486" customWidth="1"/>
    <col min="13063" max="13065" width="9.140625" style="486"/>
    <col min="13066" max="13066" width="9.85546875" style="486" customWidth="1"/>
    <col min="13067" max="13067" width="9.140625" style="486"/>
    <col min="13068" max="13070" width="10" style="486" customWidth="1"/>
    <col min="13071" max="13312" width="9.140625" style="486"/>
    <col min="13313" max="13313" width="5.140625" style="486" customWidth="1"/>
    <col min="13314" max="13314" width="17.140625" style="486" customWidth="1"/>
    <col min="13315" max="13317" width="9.140625" style="486"/>
    <col min="13318" max="13318" width="10.28515625" style="486" customWidth="1"/>
    <col min="13319" max="13321" width="9.140625" style="486"/>
    <col min="13322" max="13322" width="9.85546875" style="486" customWidth="1"/>
    <col min="13323" max="13323" width="9.140625" style="486"/>
    <col min="13324" max="13326" width="10" style="486" customWidth="1"/>
    <col min="13327" max="13568" width="9.140625" style="486"/>
    <col min="13569" max="13569" width="5.140625" style="486" customWidth="1"/>
    <col min="13570" max="13570" width="17.140625" style="486" customWidth="1"/>
    <col min="13571" max="13573" width="9.140625" style="486"/>
    <col min="13574" max="13574" width="10.28515625" style="486" customWidth="1"/>
    <col min="13575" max="13577" width="9.140625" style="486"/>
    <col min="13578" max="13578" width="9.85546875" style="486" customWidth="1"/>
    <col min="13579" max="13579" width="9.140625" style="486"/>
    <col min="13580" max="13582" width="10" style="486" customWidth="1"/>
    <col min="13583" max="13824" width="9.140625" style="486"/>
    <col min="13825" max="13825" width="5.140625" style="486" customWidth="1"/>
    <col min="13826" max="13826" width="17.140625" style="486" customWidth="1"/>
    <col min="13827" max="13829" width="9.140625" style="486"/>
    <col min="13830" max="13830" width="10.28515625" style="486" customWidth="1"/>
    <col min="13831" max="13833" width="9.140625" style="486"/>
    <col min="13834" max="13834" width="9.85546875" style="486" customWidth="1"/>
    <col min="13835" max="13835" width="9.140625" style="486"/>
    <col min="13836" max="13838" width="10" style="486" customWidth="1"/>
    <col min="13839" max="14080" width="9.140625" style="486"/>
    <col min="14081" max="14081" width="5.140625" style="486" customWidth="1"/>
    <col min="14082" max="14082" width="17.140625" style="486" customWidth="1"/>
    <col min="14083" max="14085" width="9.140625" style="486"/>
    <col min="14086" max="14086" width="10.28515625" style="486" customWidth="1"/>
    <col min="14087" max="14089" width="9.140625" style="486"/>
    <col min="14090" max="14090" width="9.85546875" style="486" customWidth="1"/>
    <col min="14091" max="14091" width="9.140625" style="486"/>
    <col min="14092" max="14094" width="10" style="486" customWidth="1"/>
    <col min="14095" max="14336" width="9.140625" style="486"/>
    <col min="14337" max="14337" width="5.140625" style="486" customWidth="1"/>
    <col min="14338" max="14338" width="17.140625" style="486" customWidth="1"/>
    <col min="14339" max="14341" width="9.140625" style="486"/>
    <col min="14342" max="14342" width="10.28515625" style="486" customWidth="1"/>
    <col min="14343" max="14345" width="9.140625" style="486"/>
    <col min="14346" max="14346" width="9.85546875" style="486" customWidth="1"/>
    <col min="14347" max="14347" width="9.140625" style="486"/>
    <col min="14348" max="14350" width="10" style="486" customWidth="1"/>
    <col min="14351" max="14592" width="9.140625" style="486"/>
    <col min="14593" max="14593" width="5.140625" style="486" customWidth="1"/>
    <col min="14594" max="14594" width="17.140625" style="486" customWidth="1"/>
    <col min="14595" max="14597" width="9.140625" style="486"/>
    <col min="14598" max="14598" width="10.28515625" style="486" customWidth="1"/>
    <col min="14599" max="14601" width="9.140625" style="486"/>
    <col min="14602" max="14602" width="9.85546875" style="486" customWidth="1"/>
    <col min="14603" max="14603" width="9.140625" style="486"/>
    <col min="14604" max="14606" width="10" style="486" customWidth="1"/>
    <col min="14607" max="14848" width="9.140625" style="486"/>
    <col min="14849" max="14849" width="5.140625" style="486" customWidth="1"/>
    <col min="14850" max="14850" width="17.140625" style="486" customWidth="1"/>
    <col min="14851" max="14853" width="9.140625" style="486"/>
    <col min="14854" max="14854" width="10.28515625" style="486" customWidth="1"/>
    <col min="14855" max="14857" width="9.140625" style="486"/>
    <col min="14858" max="14858" width="9.85546875" style="486" customWidth="1"/>
    <col min="14859" max="14859" width="9.140625" style="486"/>
    <col min="14860" max="14862" width="10" style="486" customWidth="1"/>
    <col min="14863" max="15104" width="9.140625" style="486"/>
    <col min="15105" max="15105" width="5.140625" style="486" customWidth="1"/>
    <col min="15106" max="15106" width="17.140625" style="486" customWidth="1"/>
    <col min="15107" max="15109" width="9.140625" style="486"/>
    <col min="15110" max="15110" width="10.28515625" style="486" customWidth="1"/>
    <col min="15111" max="15113" width="9.140625" style="486"/>
    <col min="15114" max="15114" width="9.85546875" style="486" customWidth="1"/>
    <col min="15115" max="15115" width="9.140625" style="486"/>
    <col min="15116" max="15118" width="10" style="486" customWidth="1"/>
    <col min="15119" max="15360" width="9.140625" style="486"/>
    <col min="15361" max="15361" width="5.140625" style="486" customWidth="1"/>
    <col min="15362" max="15362" width="17.140625" style="486" customWidth="1"/>
    <col min="15363" max="15365" width="9.140625" style="486"/>
    <col min="15366" max="15366" width="10.28515625" style="486" customWidth="1"/>
    <col min="15367" max="15369" width="9.140625" style="486"/>
    <col min="15370" max="15370" width="9.85546875" style="486" customWidth="1"/>
    <col min="15371" max="15371" width="9.140625" style="486"/>
    <col min="15372" max="15374" width="10" style="486" customWidth="1"/>
    <col min="15375" max="15616" width="9.140625" style="486"/>
    <col min="15617" max="15617" width="5.140625" style="486" customWidth="1"/>
    <col min="15618" max="15618" width="17.140625" style="486" customWidth="1"/>
    <col min="15619" max="15621" width="9.140625" style="486"/>
    <col min="15622" max="15622" width="10.28515625" style="486" customWidth="1"/>
    <col min="15623" max="15625" width="9.140625" style="486"/>
    <col min="15626" max="15626" width="9.85546875" style="486" customWidth="1"/>
    <col min="15627" max="15627" width="9.140625" style="486"/>
    <col min="15628" max="15630" width="10" style="486" customWidth="1"/>
    <col min="15631" max="15872" width="9.140625" style="486"/>
    <col min="15873" max="15873" width="5.140625" style="486" customWidth="1"/>
    <col min="15874" max="15874" width="17.140625" style="486" customWidth="1"/>
    <col min="15875" max="15877" width="9.140625" style="486"/>
    <col min="15878" max="15878" width="10.28515625" style="486" customWidth="1"/>
    <col min="15879" max="15881" width="9.140625" style="486"/>
    <col min="15882" max="15882" width="9.85546875" style="486" customWidth="1"/>
    <col min="15883" max="15883" width="9.140625" style="486"/>
    <col min="15884" max="15886" width="10" style="486" customWidth="1"/>
    <col min="15887" max="16128" width="9.140625" style="486"/>
    <col min="16129" max="16129" width="5.140625" style="486" customWidth="1"/>
    <col min="16130" max="16130" width="17.140625" style="486" customWidth="1"/>
    <col min="16131" max="16133" width="9.140625" style="486"/>
    <col min="16134" max="16134" width="10.28515625" style="486" customWidth="1"/>
    <col min="16135" max="16137" width="9.140625" style="486"/>
    <col min="16138" max="16138" width="9.85546875" style="486" customWidth="1"/>
    <col min="16139" max="16139" width="9.140625" style="486"/>
    <col min="16140" max="16142" width="10" style="486" customWidth="1"/>
    <col min="16143" max="16384" width="9.140625" style="486"/>
  </cols>
  <sheetData>
    <row r="1" spans="1:14" ht="30.75">
      <c r="A1" s="785" t="s">
        <v>616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1" t="s">
        <v>625</v>
      </c>
      <c r="N1" s="781"/>
    </row>
    <row r="2" spans="1:14" ht="20.25">
      <c r="A2" s="786" t="s">
        <v>617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7" t="s">
        <v>593</v>
      </c>
      <c r="N2" s="787"/>
    </row>
    <row r="3" spans="1:14" ht="21.75" customHeight="1">
      <c r="A3" s="790" t="s">
        <v>681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</row>
    <row r="4" spans="1:14" ht="18.75">
      <c r="A4" s="781" t="s">
        <v>594</v>
      </c>
      <c r="B4" s="781"/>
      <c r="C4" s="781"/>
      <c r="D4" s="784" t="str">
        <f>Summary!A5</f>
        <v>BUDGET HEAD : 2202-GENERAL EDUCATION, 02-SECONDARY EDUCATION, 109-GOVT. SEC. SCHOOL, (01)-BOYS SCHOOL (STATE FUND)</v>
      </c>
      <c r="E4" s="784"/>
      <c r="F4" s="784"/>
      <c r="G4" s="784"/>
      <c r="H4" s="784"/>
      <c r="I4" s="784"/>
      <c r="J4" s="784"/>
      <c r="K4" s="784"/>
      <c r="L4" s="784"/>
      <c r="M4" s="784"/>
      <c r="N4" s="784"/>
    </row>
    <row r="5" spans="1:14" ht="18.75">
      <c r="A5" s="781" t="s">
        <v>595</v>
      </c>
      <c r="B5" s="781"/>
      <c r="C5" s="781"/>
      <c r="D5" s="780" t="s">
        <v>618</v>
      </c>
      <c r="E5" s="780"/>
      <c r="F5" s="779" t="str">
        <f>Summary!A2</f>
        <v>iz/kkukpk;Z jktdh; vkn'kZ mPp ek/;fed fo|ky; bdygjk ¼ Mhx ½</v>
      </c>
      <c r="G5" s="779"/>
      <c r="H5" s="779"/>
      <c r="I5" s="779"/>
      <c r="J5" s="779"/>
      <c r="K5" s="779"/>
      <c r="L5" s="779"/>
      <c r="M5" s="779"/>
      <c r="N5" s="779"/>
    </row>
    <row r="6" spans="1:14" s="513" customFormat="1" ht="26.25" customHeight="1">
      <c r="A6" s="789" t="s">
        <v>417</v>
      </c>
      <c r="B6" s="789" t="s">
        <v>596</v>
      </c>
      <c r="C6" s="783" t="s">
        <v>597</v>
      </c>
      <c r="D6" s="782"/>
      <c r="E6" s="782"/>
      <c r="F6" s="783" t="s">
        <v>600</v>
      </c>
      <c r="G6" s="783" t="s">
        <v>598</v>
      </c>
      <c r="H6" s="782"/>
      <c r="I6" s="782"/>
      <c r="J6" s="783" t="s">
        <v>599</v>
      </c>
      <c r="K6" s="783" t="s">
        <v>600</v>
      </c>
      <c r="L6" s="783" t="s">
        <v>601</v>
      </c>
      <c r="M6" s="782"/>
      <c r="N6" s="782"/>
    </row>
    <row r="7" spans="1:14" s="513" customFormat="1" ht="38.25">
      <c r="A7" s="789"/>
      <c r="B7" s="789"/>
      <c r="C7" s="519" t="s">
        <v>98</v>
      </c>
      <c r="D7" s="519" t="s">
        <v>99</v>
      </c>
      <c r="E7" s="519" t="s">
        <v>5</v>
      </c>
      <c r="F7" s="782"/>
      <c r="G7" s="519" t="s">
        <v>678</v>
      </c>
      <c r="H7" s="519" t="s">
        <v>679</v>
      </c>
      <c r="I7" s="519" t="s">
        <v>602</v>
      </c>
      <c r="J7" s="782"/>
      <c r="K7" s="782"/>
      <c r="L7" s="496" t="s">
        <v>603</v>
      </c>
      <c r="M7" s="496" t="s">
        <v>604</v>
      </c>
      <c r="N7" s="496" t="s">
        <v>605</v>
      </c>
    </row>
    <row r="8" spans="1:14" ht="15" customHeight="1">
      <c r="A8" s="492">
        <v>1</v>
      </c>
      <c r="B8" s="492">
        <v>2</v>
      </c>
      <c r="C8" s="492">
        <v>3</v>
      </c>
      <c r="D8" s="492">
        <v>4</v>
      </c>
      <c r="E8" s="492">
        <v>5</v>
      </c>
      <c r="F8" s="492">
        <v>6</v>
      </c>
      <c r="G8" s="492">
        <v>7</v>
      </c>
      <c r="H8" s="492">
        <v>8</v>
      </c>
      <c r="I8" s="492">
        <v>9</v>
      </c>
      <c r="J8" s="492">
        <v>10</v>
      </c>
      <c r="K8" s="492">
        <v>11</v>
      </c>
      <c r="L8" s="492">
        <v>12</v>
      </c>
      <c r="M8" s="492">
        <v>13</v>
      </c>
      <c r="N8" s="492">
        <v>14</v>
      </c>
    </row>
    <row r="9" spans="1:14" s="503" customFormat="1" ht="15.95" customHeight="1">
      <c r="A9" s="496">
        <v>1</v>
      </c>
      <c r="B9" s="514" t="s">
        <v>619</v>
      </c>
      <c r="C9" s="496"/>
      <c r="D9" s="496"/>
      <c r="E9" s="496"/>
      <c r="F9" s="496"/>
      <c r="G9" s="496"/>
      <c r="H9" s="496"/>
      <c r="I9" s="496">
        <f>G9+H9</f>
        <v>0</v>
      </c>
      <c r="J9" s="496">
        <v>0</v>
      </c>
      <c r="K9" s="496">
        <v>0</v>
      </c>
      <c r="L9" s="496">
        <f>F9-J9</f>
        <v>0</v>
      </c>
      <c r="M9" s="496">
        <f>I9-J9</f>
        <v>0</v>
      </c>
      <c r="N9" s="496">
        <f>J9-K9</f>
        <v>0</v>
      </c>
    </row>
    <row r="10" spans="1:14" s="503" customFormat="1" ht="15.95" customHeight="1">
      <c r="A10" s="496">
        <v>2</v>
      </c>
      <c r="B10" s="515" t="s">
        <v>620</v>
      </c>
      <c r="C10" s="496"/>
      <c r="D10" s="496"/>
      <c r="E10" s="496"/>
      <c r="F10" s="496"/>
      <c r="G10" s="496"/>
      <c r="H10" s="496"/>
      <c r="I10" s="496">
        <f t="shared" ref="I10:I15" si="0">G10+H10</f>
        <v>0</v>
      </c>
      <c r="J10" s="496">
        <f>F10</f>
        <v>0</v>
      </c>
      <c r="K10" s="496">
        <v>0</v>
      </c>
      <c r="L10" s="496">
        <f t="shared" ref="L10:L15" si="1">F10-J10</f>
        <v>0</v>
      </c>
      <c r="M10" s="496">
        <f t="shared" ref="M10:N15" si="2">I10-J10</f>
        <v>0</v>
      </c>
      <c r="N10" s="496">
        <f t="shared" si="2"/>
        <v>0</v>
      </c>
    </row>
    <row r="11" spans="1:14" s="503" customFormat="1" ht="15.95" customHeight="1">
      <c r="A11" s="496">
        <v>3</v>
      </c>
      <c r="B11" s="515" t="s">
        <v>621</v>
      </c>
      <c r="C11" s="496"/>
      <c r="D11" s="496"/>
      <c r="E11" s="496"/>
      <c r="F11" s="496"/>
      <c r="G11" s="496"/>
      <c r="H11" s="496"/>
      <c r="I11" s="496">
        <f t="shared" si="0"/>
        <v>0</v>
      </c>
      <c r="J11" s="496">
        <f t="shared" ref="J11:J15" si="3">F11</f>
        <v>0</v>
      </c>
      <c r="K11" s="496">
        <v>0</v>
      </c>
      <c r="L11" s="496">
        <f t="shared" si="1"/>
        <v>0</v>
      </c>
      <c r="M11" s="496">
        <f t="shared" si="2"/>
        <v>0</v>
      </c>
      <c r="N11" s="496">
        <f t="shared" si="2"/>
        <v>0</v>
      </c>
    </row>
    <row r="12" spans="1:14" s="503" customFormat="1" ht="15.95" customHeight="1">
      <c r="A12" s="496">
        <v>4</v>
      </c>
      <c r="B12" s="516" t="s">
        <v>622</v>
      </c>
      <c r="C12" s="496"/>
      <c r="D12" s="496"/>
      <c r="E12" s="496"/>
      <c r="F12" s="496"/>
      <c r="G12" s="496"/>
      <c r="H12" s="496"/>
      <c r="I12" s="496">
        <f t="shared" si="0"/>
        <v>0</v>
      </c>
      <c r="J12" s="496">
        <f t="shared" si="3"/>
        <v>0</v>
      </c>
      <c r="K12" s="496">
        <v>0</v>
      </c>
      <c r="L12" s="496">
        <f t="shared" si="1"/>
        <v>0</v>
      </c>
      <c r="M12" s="496">
        <f t="shared" si="2"/>
        <v>0</v>
      </c>
      <c r="N12" s="496">
        <f t="shared" si="2"/>
        <v>0</v>
      </c>
    </row>
    <row r="13" spans="1:14" s="503" customFormat="1" ht="15.95" customHeight="1">
      <c r="A13" s="496">
        <v>5</v>
      </c>
      <c r="B13" s="516" t="s">
        <v>623</v>
      </c>
      <c r="C13" s="496"/>
      <c r="D13" s="496"/>
      <c r="E13" s="496"/>
      <c r="F13" s="496"/>
      <c r="G13" s="496"/>
      <c r="H13" s="496"/>
      <c r="I13" s="496">
        <f t="shared" si="0"/>
        <v>0</v>
      </c>
      <c r="J13" s="496">
        <f t="shared" si="3"/>
        <v>0</v>
      </c>
      <c r="K13" s="496">
        <v>0</v>
      </c>
      <c r="L13" s="496">
        <f t="shared" si="1"/>
        <v>0</v>
      </c>
      <c r="M13" s="496">
        <f t="shared" si="2"/>
        <v>0</v>
      </c>
      <c r="N13" s="496">
        <f t="shared" si="2"/>
        <v>0</v>
      </c>
    </row>
    <row r="14" spans="1:14" s="503" customFormat="1" ht="15.95" customHeight="1">
      <c r="A14" s="496">
        <v>6</v>
      </c>
      <c r="B14" s="516" t="s">
        <v>624</v>
      </c>
      <c r="C14" s="496"/>
      <c r="D14" s="496"/>
      <c r="E14" s="496"/>
      <c r="F14" s="496"/>
      <c r="G14" s="496"/>
      <c r="H14" s="496"/>
      <c r="I14" s="496">
        <f t="shared" si="0"/>
        <v>0</v>
      </c>
      <c r="J14" s="496">
        <f t="shared" si="3"/>
        <v>0</v>
      </c>
      <c r="K14" s="496">
        <v>0</v>
      </c>
      <c r="L14" s="496">
        <f t="shared" si="1"/>
        <v>0</v>
      </c>
      <c r="M14" s="496">
        <f t="shared" si="2"/>
        <v>0</v>
      </c>
      <c r="N14" s="496">
        <f t="shared" si="2"/>
        <v>0</v>
      </c>
    </row>
    <row r="15" spans="1:14" s="503" customFormat="1" ht="15.95" customHeight="1">
      <c r="A15" s="496">
        <v>7</v>
      </c>
      <c r="B15" s="516" t="s">
        <v>38</v>
      </c>
      <c r="C15" s="496"/>
      <c r="D15" s="496"/>
      <c r="E15" s="496"/>
      <c r="F15" s="496"/>
      <c r="G15" s="496"/>
      <c r="H15" s="496"/>
      <c r="I15" s="496">
        <f t="shared" si="0"/>
        <v>0</v>
      </c>
      <c r="J15" s="496">
        <f t="shared" si="3"/>
        <v>0</v>
      </c>
      <c r="K15" s="496">
        <v>0</v>
      </c>
      <c r="L15" s="496">
        <f t="shared" si="1"/>
        <v>0</v>
      </c>
      <c r="M15" s="496">
        <f t="shared" si="2"/>
        <v>0</v>
      </c>
      <c r="N15" s="496">
        <f t="shared" si="2"/>
        <v>0</v>
      </c>
    </row>
    <row r="16" spans="1:14" s="503" customFormat="1" ht="15.95" customHeight="1">
      <c r="A16" s="496"/>
      <c r="B16" s="496" t="s">
        <v>409</v>
      </c>
      <c r="C16" s="496">
        <f>SUM(C9:C15)</f>
        <v>0</v>
      </c>
      <c r="D16" s="496">
        <f t="shared" ref="D16:N16" si="4">SUM(D9:D15)</f>
        <v>0</v>
      </c>
      <c r="E16" s="496">
        <f t="shared" si="4"/>
        <v>0</v>
      </c>
      <c r="F16" s="496">
        <f t="shared" si="4"/>
        <v>0</v>
      </c>
      <c r="G16" s="496">
        <f t="shared" si="4"/>
        <v>0</v>
      </c>
      <c r="H16" s="496">
        <f t="shared" si="4"/>
        <v>0</v>
      </c>
      <c r="I16" s="496">
        <f t="shared" si="4"/>
        <v>0</v>
      </c>
      <c r="J16" s="496">
        <f t="shared" si="4"/>
        <v>0</v>
      </c>
      <c r="K16" s="496">
        <f t="shared" si="4"/>
        <v>0</v>
      </c>
      <c r="L16" s="496">
        <f t="shared" si="4"/>
        <v>0</v>
      </c>
      <c r="M16" s="496">
        <f t="shared" si="4"/>
        <v>0</v>
      </c>
      <c r="N16" s="496">
        <f t="shared" si="4"/>
        <v>0</v>
      </c>
    </row>
    <row r="18" spans="11:14" ht="18.75">
      <c r="K18" s="587" t="str">
        <f>Master!C2</f>
        <v>iz/kkukpk;Z</v>
      </c>
      <c r="L18" s="587"/>
      <c r="M18" s="587"/>
      <c r="N18" s="587"/>
    </row>
    <row r="19" spans="11:14" ht="18.75" customHeight="1">
      <c r="K19" s="774" t="str">
        <f>Master!D2</f>
        <v>jktdh; vkn'kZ mPp ek/;fed fo|ky; bdygjk ¼ Mhx ½</v>
      </c>
      <c r="L19" s="774"/>
      <c r="M19" s="774"/>
      <c r="N19" s="774"/>
    </row>
    <row r="20" spans="11:14" ht="15" customHeight="1">
      <c r="K20" s="774"/>
      <c r="L20" s="774"/>
      <c r="M20" s="774"/>
      <c r="N20" s="774"/>
    </row>
    <row r="21" spans="11:14" ht="15.75">
      <c r="L21" s="512"/>
    </row>
    <row r="22" spans="11:14" ht="15.75">
      <c r="L22" s="512"/>
    </row>
  </sheetData>
  <mergeCells count="20">
    <mergeCell ref="A4:C4"/>
    <mergeCell ref="D4:N4"/>
    <mergeCell ref="A1:L1"/>
    <mergeCell ref="M1:N1"/>
    <mergeCell ref="A2:L2"/>
    <mergeCell ref="M2:N2"/>
    <mergeCell ref="A3:N3"/>
    <mergeCell ref="D5:E5"/>
    <mergeCell ref="F5:N5"/>
    <mergeCell ref="K18:N18"/>
    <mergeCell ref="K19:N20"/>
    <mergeCell ref="A5:C5"/>
    <mergeCell ref="A6:A7"/>
    <mergeCell ref="B6:B7"/>
    <mergeCell ref="C6:E6"/>
    <mergeCell ref="F6:F7"/>
    <mergeCell ref="G6:I6"/>
    <mergeCell ref="J6:J7"/>
    <mergeCell ref="K6:K7"/>
    <mergeCell ref="L6:N6"/>
  </mergeCells>
  <pageMargins left="0.45" right="0.45" top="0.75" bottom="0.75" header="0.3" footer="0.3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G5:G13"/>
  <sheetViews>
    <sheetView workbookViewId="0">
      <selection activeCell="K6" sqref="K6"/>
    </sheetView>
  </sheetViews>
  <sheetFormatPr defaultRowHeight="15"/>
  <sheetData>
    <row r="5" spans="7:7">
      <c r="G5">
        <v>2</v>
      </c>
    </row>
    <row r="6" spans="7:7">
      <c r="G6">
        <v>23</v>
      </c>
    </row>
    <row r="7" spans="7:7">
      <c r="G7">
        <v>23</v>
      </c>
    </row>
    <row r="8" spans="7:7">
      <c r="G8">
        <v>256</v>
      </c>
    </row>
    <row r="9" spans="7:7">
      <c r="G9">
        <v>263</v>
      </c>
    </row>
    <row r="11" spans="7:7">
      <c r="G11">
        <f>SUM(G5:G10)</f>
        <v>567</v>
      </c>
    </row>
    <row r="13" spans="7:7">
      <c r="G13" t="e">
        <f ca="1">spellnumber(G11)</f>
        <v>#NAME?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Z498"/>
  <sheetViews>
    <sheetView topLeftCell="A7" workbookViewId="0">
      <selection activeCell="J17" sqref="J17"/>
    </sheetView>
  </sheetViews>
  <sheetFormatPr defaultRowHeight="15"/>
  <cols>
    <col min="1" max="1" width="6.42578125" style="140" customWidth="1"/>
    <col min="2" max="2" width="5.28515625" style="106" customWidth="1"/>
    <col min="3" max="3" width="22.140625" style="106" customWidth="1"/>
    <col min="4" max="4" width="15.7109375" style="106" customWidth="1"/>
    <col min="5" max="5" width="11.28515625" style="106" customWidth="1"/>
    <col min="6" max="6" width="15.140625" style="106" customWidth="1"/>
    <col min="7" max="7" width="9.42578125" style="106" customWidth="1"/>
    <col min="8" max="8" width="10.5703125" style="106" customWidth="1"/>
    <col min="9" max="9" width="8.85546875" style="106" customWidth="1"/>
    <col min="10" max="10" width="11" style="105" customWidth="1"/>
    <col min="11" max="11" width="7.85546875" style="106" customWidth="1"/>
    <col min="12" max="12" width="11" style="106" customWidth="1"/>
    <col min="13" max="13" width="10.85546875" style="106" customWidth="1"/>
    <col min="14" max="14" width="18.42578125" style="106" customWidth="1"/>
    <col min="15" max="18" width="15.85546875" style="106" hidden="1" customWidth="1"/>
    <col min="19" max="19" width="3.85546875" style="99" hidden="1" customWidth="1"/>
    <col min="20" max="20" width="8.28515625" style="106" hidden="1" customWidth="1"/>
    <col min="21" max="22" width="10.85546875" style="101" hidden="1" customWidth="1"/>
    <col min="23" max="23" width="8.7109375" style="101" hidden="1" customWidth="1"/>
    <col min="24" max="24" width="7.85546875" style="101" hidden="1" customWidth="1"/>
    <col min="25" max="30" width="6.140625" style="101" hidden="1" customWidth="1"/>
    <col min="31" max="31" width="12.42578125" style="99" hidden="1" customWidth="1"/>
    <col min="32" max="35" width="12.42578125" style="101" hidden="1" customWidth="1"/>
    <col min="36" max="36" width="9.140625" style="101" hidden="1" customWidth="1"/>
    <col min="37" max="49" width="6.85546875" style="101" hidden="1" customWidth="1"/>
    <col min="50" max="53" width="12.42578125" style="101" hidden="1" customWidth="1"/>
    <col min="54" max="54" width="6.85546875" style="101" hidden="1" customWidth="1"/>
    <col min="55" max="55" width="11.140625" style="101" hidden="1" customWidth="1"/>
    <col min="56" max="69" width="6.85546875" style="101" hidden="1" customWidth="1"/>
    <col min="70" max="70" width="9.7109375" style="101" hidden="1" customWidth="1"/>
    <col min="71" max="71" width="12.7109375" style="101" hidden="1" customWidth="1"/>
    <col min="72" max="73" width="6.85546875" style="101" hidden="1" customWidth="1"/>
    <col min="74" max="74" width="9.140625" style="102" hidden="1" customWidth="1"/>
    <col min="75" max="75" width="10.7109375" style="102" hidden="1" customWidth="1"/>
    <col min="76" max="77" width="9.140625" style="99" hidden="1" customWidth="1"/>
    <col min="78" max="78" width="6.42578125" style="99" hidden="1" customWidth="1"/>
    <col min="79" max="79" width="16.5703125" style="99" hidden="1" customWidth="1"/>
    <col min="80" max="80" width="12.7109375" style="99" hidden="1" customWidth="1"/>
    <col min="81" max="84" width="3.28515625" style="99" hidden="1" customWidth="1"/>
    <col min="85" max="85" width="5" style="99" hidden="1" customWidth="1"/>
    <col min="86" max="89" width="3.28515625" style="99" hidden="1" customWidth="1"/>
    <col min="90" max="93" width="4" style="99" hidden="1" customWidth="1"/>
    <col min="94" max="94" width="3.28515625" style="99" hidden="1" customWidth="1"/>
    <col min="95" max="95" width="4" style="99" hidden="1" customWidth="1"/>
    <col min="96" max="96" width="3.28515625" style="99" hidden="1" customWidth="1"/>
    <col min="97" max="97" width="4" style="99" hidden="1" customWidth="1"/>
    <col min="98" max="99" width="3.28515625" style="99" hidden="1" customWidth="1"/>
    <col min="100" max="100" width="4.28515625" style="99" hidden="1" customWidth="1"/>
    <col min="101" max="101" width="5" style="99" hidden="1" customWidth="1"/>
    <col min="102" max="102" width="9.140625" style="99" hidden="1" customWidth="1"/>
    <col min="103" max="103" width="9.140625" style="101" customWidth="1"/>
    <col min="104" max="104" width="32.85546875" style="101" customWidth="1"/>
    <col min="105" max="105" width="32.42578125" style="101" bestFit="1" customWidth="1"/>
    <col min="106" max="16384" width="9.140625" style="101"/>
  </cols>
  <sheetData>
    <row r="1" spans="1:102" ht="17.25" customHeight="1">
      <c r="A1" s="169"/>
      <c r="B1" s="170"/>
      <c r="C1" s="170"/>
      <c r="D1" s="170"/>
      <c r="E1" s="170"/>
      <c r="F1" s="170"/>
      <c r="G1" s="170"/>
      <c r="H1" s="170"/>
      <c r="I1" s="170"/>
      <c r="J1" s="171"/>
      <c r="K1" s="170"/>
      <c r="L1" s="628">
        <f>Summary!$C$1</f>
        <v>30695</v>
      </c>
      <c r="M1" s="628"/>
      <c r="N1" s="628"/>
      <c r="O1" s="172"/>
      <c r="P1" s="172"/>
      <c r="Q1" s="172"/>
      <c r="R1" s="172"/>
      <c r="T1" s="100"/>
      <c r="Z1" s="101" t="s">
        <v>64</v>
      </c>
    </row>
    <row r="2" spans="1:102" ht="20.25" customHeight="1">
      <c r="A2" s="629" t="str">
        <f>Summary!$A$2</f>
        <v>iz/kkukpk;Z jktdh; vkn'kZ mPp ek/;fed fo|ky; bdygjk ¼ Mhx ½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173"/>
      <c r="P2" s="173"/>
      <c r="Q2" s="173"/>
      <c r="R2" s="173"/>
      <c r="T2" s="103"/>
      <c r="Z2" s="101" t="s">
        <v>73</v>
      </c>
    </row>
    <row r="3" spans="1:102" ht="17.100000000000001" customHeight="1">
      <c r="A3" s="627" t="s">
        <v>161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174"/>
      <c r="P3" s="174"/>
      <c r="Q3" s="174"/>
      <c r="R3" s="174"/>
      <c r="T3" s="104"/>
      <c r="U3" s="105"/>
      <c r="V3" s="105"/>
      <c r="W3" s="105"/>
      <c r="X3" s="105"/>
      <c r="Y3" s="105"/>
      <c r="Z3" s="106" t="s">
        <v>373</v>
      </c>
      <c r="AA3" s="106"/>
      <c r="AB3" s="106"/>
      <c r="AC3" s="106"/>
      <c r="AD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</row>
    <row r="4" spans="1:102" ht="17.100000000000001" customHeight="1">
      <c r="A4" s="627" t="s">
        <v>162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174"/>
      <c r="P4" s="174"/>
      <c r="Q4" s="174"/>
      <c r="R4" s="174"/>
      <c r="T4" s="107"/>
      <c r="U4" s="105"/>
      <c r="V4" s="105"/>
      <c r="W4" s="105"/>
      <c r="X4" s="105"/>
      <c r="Y4" s="105"/>
      <c r="Z4" s="99" t="s">
        <v>374</v>
      </c>
      <c r="AA4" s="99"/>
      <c r="AB4" s="99"/>
      <c r="AC4" s="99"/>
      <c r="AD4" s="99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</row>
    <row r="5" spans="1:102" ht="17.100000000000001" customHeight="1">
      <c r="A5" s="627" t="s">
        <v>163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174"/>
      <c r="P5" s="174"/>
      <c r="Q5" s="174"/>
      <c r="R5" s="174"/>
      <c r="T5" s="107"/>
      <c r="U5" s="105"/>
      <c r="V5" s="105"/>
      <c r="W5" s="105"/>
      <c r="X5" s="105"/>
      <c r="Y5" s="105"/>
      <c r="Z5" s="99" t="s">
        <v>376</v>
      </c>
      <c r="AA5" s="99"/>
      <c r="AB5" s="99"/>
      <c r="AC5" s="99"/>
      <c r="AD5" s="99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</row>
    <row r="6" spans="1:102" ht="17.100000000000001" customHeight="1">
      <c r="A6" s="627" t="s">
        <v>164</v>
      </c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174"/>
      <c r="P6" s="174"/>
      <c r="Q6" s="174"/>
      <c r="R6" s="174"/>
      <c r="T6" s="107"/>
      <c r="U6" s="105"/>
      <c r="V6" s="105"/>
      <c r="W6" s="105"/>
      <c r="X6" s="105"/>
      <c r="Y6" s="105"/>
      <c r="Z6" s="99" t="s">
        <v>375</v>
      </c>
      <c r="AA6" s="99"/>
      <c r="AB6" s="99"/>
      <c r="AC6" s="99"/>
      <c r="AD6" s="99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</row>
    <row r="7" spans="1:102" ht="7.5" customHeight="1">
      <c r="A7" s="600" t="str">
        <f>Summary!$A$5</f>
        <v>BUDGET HEAD : 2202-GENERAL EDUCATION, 02-SECONDARY EDUCATION, 109-GOVT. SEC. SCHOOL, (01)-BOYS SCHOOL (STATE FUND)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2" t="s">
        <v>165</v>
      </c>
      <c r="O7" s="175"/>
      <c r="P7" s="175"/>
      <c r="Q7" s="175"/>
      <c r="R7" s="175"/>
      <c r="T7" s="104"/>
      <c r="U7" s="105"/>
      <c r="V7" s="105"/>
      <c r="W7" s="105"/>
      <c r="X7" s="105"/>
      <c r="Y7" s="105"/>
      <c r="Z7" s="106"/>
      <c r="AA7" s="106"/>
      <c r="AB7" s="106"/>
      <c r="AC7" s="106"/>
      <c r="AD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</row>
    <row r="8" spans="1:102" ht="12.75" customHeight="1">
      <c r="A8" s="601"/>
      <c r="B8" s="601"/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603"/>
      <c r="O8" s="261"/>
      <c r="P8" s="261"/>
      <c r="Q8" s="261"/>
      <c r="R8" s="261"/>
      <c r="T8" s="108"/>
      <c r="U8" s="105"/>
      <c r="V8" s="105"/>
      <c r="W8" s="105"/>
      <c r="X8" s="105"/>
      <c r="Y8" s="105"/>
      <c r="Z8" s="106"/>
      <c r="AA8" s="106"/>
      <c r="AB8" s="106"/>
      <c r="AC8" s="106"/>
      <c r="AD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</row>
    <row r="9" spans="1:102" ht="39.75" customHeight="1">
      <c r="A9" s="608" t="s">
        <v>166</v>
      </c>
      <c r="B9" s="608" t="s">
        <v>167</v>
      </c>
      <c r="C9" s="608" t="s">
        <v>168</v>
      </c>
      <c r="D9" s="608" t="s">
        <v>169</v>
      </c>
      <c r="E9" s="608" t="s">
        <v>170</v>
      </c>
      <c r="F9" s="608" t="s">
        <v>90</v>
      </c>
      <c r="G9" s="517"/>
      <c r="H9" s="623" t="s">
        <v>171</v>
      </c>
      <c r="I9" s="623" t="s">
        <v>172</v>
      </c>
      <c r="J9" s="625" t="s">
        <v>173</v>
      </c>
      <c r="K9" s="626"/>
      <c r="L9" s="623" t="s">
        <v>174</v>
      </c>
      <c r="M9" s="606" t="s">
        <v>175</v>
      </c>
      <c r="N9" s="608" t="s">
        <v>176</v>
      </c>
      <c r="O9" s="176"/>
      <c r="P9" s="176"/>
      <c r="Q9" s="176"/>
      <c r="R9" s="176"/>
      <c r="S9" s="109"/>
      <c r="T9" s="619" t="s">
        <v>177</v>
      </c>
      <c r="U9" s="621" t="s">
        <v>178</v>
      </c>
      <c r="V9" s="621" t="s">
        <v>179</v>
      </c>
      <c r="W9" s="619" t="s">
        <v>180</v>
      </c>
      <c r="X9" s="619" t="s">
        <v>181</v>
      </c>
      <c r="Y9" s="614" t="s">
        <v>182</v>
      </c>
      <c r="Z9" s="615"/>
      <c r="AA9" s="614" t="s">
        <v>183</v>
      </c>
      <c r="AB9" s="615"/>
      <c r="AC9" s="614" t="s">
        <v>184</v>
      </c>
      <c r="AD9" s="615"/>
      <c r="AE9" s="110"/>
      <c r="AF9" s="111" t="s">
        <v>185</v>
      </c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1" t="s">
        <v>186</v>
      </c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3"/>
      <c r="BQ9" s="113"/>
      <c r="BR9" s="113"/>
      <c r="BS9" s="113"/>
      <c r="BT9" s="113"/>
      <c r="BU9" s="114"/>
      <c r="BV9" s="110"/>
      <c r="BW9" s="110"/>
      <c r="BX9" s="110"/>
      <c r="BY9" s="110"/>
    </row>
    <row r="10" spans="1:102" ht="39" customHeight="1">
      <c r="A10" s="609"/>
      <c r="B10" s="609"/>
      <c r="C10" s="609"/>
      <c r="D10" s="609"/>
      <c r="E10" s="610"/>
      <c r="F10" s="609"/>
      <c r="G10" s="178" t="s">
        <v>187</v>
      </c>
      <c r="H10" s="624"/>
      <c r="I10" s="624"/>
      <c r="J10" s="178" t="s">
        <v>188</v>
      </c>
      <c r="K10" s="178" t="s">
        <v>189</v>
      </c>
      <c r="L10" s="624"/>
      <c r="M10" s="607"/>
      <c r="N10" s="609"/>
      <c r="O10" s="177"/>
      <c r="P10" s="177"/>
      <c r="Q10" s="177"/>
      <c r="R10" s="177"/>
      <c r="S10" s="115"/>
      <c r="T10" s="620"/>
      <c r="U10" s="622"/>
      <c r="V10" s="622"/>
      <c r="W10" s="620"/>
      <c r="X10" s="620"/>
      <c r="Y10" s="116" t="s">
        <v>62</v>
      </c>
      <c r="Z10" s="116" t="s">
        <v>190</v>
      </c>
      <c r="AA10" s="116" t="s">
        <v>62</v>
      </c>
      <c r="AB10" s="116" t="s">
        <v>190</v>
      </c>
      <c r="AC10" s="116" t="s">
        <v>62</v>
      </c>
      <c r="AD10" s="116" t="s">
        <v>190</v>
      </c>
      <c r="AE10" s="117" t="s">
        <v>191</v>
      </c>
      <c r="AF10" s="117" t="s">
        <v>192</v>
      </c>
      <c r="AG10" s="118" t="s">
        <v>193</v>
      </c>
      <c r="AH10" s="117" t="s">
        <v>194</v>
      </c>
      <c r="AI10" s="118" t="s">
        <v>195</v>
      </c>
      <c r="AJ10" s="119">
        <f>F74</f>
        <v>0.12</v>
      </c>
      <c r="AK10" s="120">
        <v>0</v>
      </c>
      <c r="AL10" s="121" t="s">
        <v>196</v>
      </c>
      <c r="AM10" s="122">
        <v>0.1</v>
      </c>
      <c r="AN10" s="121" t="s">
        <v>197</v>
      </c>
      <c r="AO10" s="123" t="s">
        <v>198</v>
      </c>
      <c r="AP10" s="121" t="s">
        <v>199</v>
      </c>
      <c r="AQ10" s="121" t="s">
        <v>200</v>
      </c>
      <c r="AR10" s="121" t="s">
        <v>201</v>
      </c>
      <c r="AS10" s="121" t="s">
        <v>202</v>
      </c>
      <c r="AT10" s="121" t="s">
        <v>203</v>
      </c>
      <c r="AU10" s="121" t="s">
        <v>204</v>
      </c>
      <c r="AV10" s="121" t="s">
        <v>205</v>
      </c>
      <c r="AW10" s="121" t="s">
        <v>206</v>
      </c>
      <c r="AX10" s="117" t="s">
        <v>192</v>
      </c>
      <c r="AY10" s="118" t="s">
        <v>193</v>
      </c>
      <c r="AZ10" s="117" t="s">
        <v>194</v>
      </c>
      <c r="BA10" s="118" t="s">
        <v>195</v>
      </c>
      <c r="BB10" s="119">
        <f>AJ10</f>
        <v>0.12</v>
      </c>
      <c r="BC10" s="120">
        <f>D75</f>
        <v>0.03</v>
      </c>
      <c r="BD10" s="121" t="s">
        <v>196</v>
      </c>
      <c r="BE10" s="122">
        <v>0.08</v>
      </c>
      <c r="BF10" s="121" t="s">
        <v>197</v>
      </c>
      <c r="BG10" s="123" t="s">
        <v>198</v>
      </c>
      <c r="BH10" s="121" t="s">
        <v>199</v>
      </c>
      <c r="BI10" s="121" t="s">
        <v>200</v>
      </c>
      <c r="BJ10" s="121" t="s">
        <v>201</v>
      </c>
      <c r="BK10" s="121" t="s">
        <v>202</v>
      </c>
      <c r="BL10" s="121" t="s">
        <v>203</v>
      </c>
      <c r="BM10" s="121" t="s">
        <v>204</v>
      </c>
      <c r="BN10" s="121" t="s">
        <v>205</v>
      </c>
      <c r="BO10" s="121" t="s">
        <v>207</v>
      </c>
      <c r="BP10" s="124" t="s">
        <v>208</v>
      </c>
      <c r="BQ10" s="124" t="s">
        <v>209</v>
      </c>
      <c r="BR10" s="124" t="s">
        <v>210</v>
      </c>
      <c r="BS10" s="124" t="s">
        <v>211</v>
      </c>
      <c r="BT10" s="124" t="s">
        <v>212</v>
      </c>
      <c r="BU10" s="124" t="s">
        <v>213</v>
      </c>
      <c r="BV10" s="124" t="s">
        <v>214</v>
      </c>
      <c r="BW10" s="124" t="s">
        <v>215</v>
      </c>
      <c r="BX10" s="124" t="s">
        <v>216</v>
      </c>
      <c r="BY10" s="124" t="s">
        <v>217</v>
      </c>
    </row>
    <row r="11" spans="1:102" s="126" customFormat="1">
      <c r="A11" s="260">
        <v>1</v>
      </c>
      <c r="B11" s="260">
        <v>2</v>
      </c>
      <c r="C11" s="260">
        <v>3</v>
      </c>
      <c r="D11" s="260">
        <v>4</v>
      </c>
      <c r="E11" s="260">
        <v>4</v>
      </c>
      <c r="F11" s="260">
        <v>5</v>
      </c>
      <c r="G11" s="260">
        <v>7</v>
      </c>
      <c r="H11" s="260">
        <v>8</v>
      </c>
      <c r="I11" s="260">
        <v>9</v>
      </c>
      <c r="J11" s="260">
        <v>10</v>
      </c>
      <c r="K11" s="260">
        <v>11</v>
      </c>
      <c r="L11" s="260">
        <v>12</v>
      </c>
      <c r="M11" s="260">
        <v>13</v>
      </c>
      <c r="N11" s="260">
        <v>14</v>
      </c>
      <c r="O11" s="260"/>
      <c r="P11" s="260"/>
      <c r="Q11" s="260"/>
      <c r="R11" s="260"/>
      <c r="S11" s="1"/>
      <c r="T11" s="1"/>
      <c r="U11" s="117">
        <v>15</v>
      </c>
      <c r="V11" s="117">
        <v>16</v>
      </c>
      <c r="W11" s="117">
        <v>18</v>
      </c>
      <c r="X11" s="117">
        <v>19</v>
      </c>
      <c r="Y11" s="125">
        <v>25</v>
      </c>
      <c r="Z11" s="125">
        <v>26</v>
      </c>
      <c r="AA11" s="125">
        <v>27</v>
      </c>
      <c r="AB11" s="125">
        <v>28</v>
      </c>
      <c r="AC11" s="125">
        <v>27</v>
      </c>
      <c r="AD11" s="125">
        <v>28</v>
      </c>
      <c r="AE11" s="110"/>
      <c r="AF11" s="125">
        <v>16</v>
      </c>
      <c r="AG11" s="125">
        <v>17</v>
      </c>
      <c r="AH11" s="125">
        <v>18</v>
      </c>
      <c r="AI11" s="125">
        <v>19</v>
      </c>
      <c r="AJ11" s="125">
        <v>20</v>
      </c>
      <c r="AK11" s="125">
        <v>21</v>
      </c>
      <c r="AL11" s="125">
        <v>22</v>
      </c>
      <c r="AM11" s="125">
        <v>23</v>
      </c>
      <c r="AN11" s="125">
        <v>24</v>
      </c>
      <c r="AO11" s="125">
        <v>25</v>
      </c>
      <c r="AP11" s="125">
        <v>27</v>
      </c>
      <c r="AQ11" s="125">
        <v>28</v>
      </c>
      <c r="AR11" s="125">
        <v>30</v>
      </c>
      <c r="AS11" s="125">
        <v>31</v>
      </c>
      <c r="AT11" s="125">
        <v>32</v>
      </c>
      <c r="AU11" s="125">
        <v>33</v>
      </c>
      <c r="AV11" s="125">
        <v>34</v>
      </c>
      <c r="AW11" s="125">
        <v>35</v>
      </c>
      <c r="AX11" s="125">
        <v>36</v>
      </c>
      <c r="AY11" s="125">
        <v>37</v>
      </c>
      <c r="AZ11" s="125">
        <v>38</v>
      </c>
      <c r="BA11" s="125">
        <v>39</v>
      </c>
      <c r="BB11" s="125">
        <v>40</v>
      </c>
      <c r="BC11" s="125">
        <v>41</v>
      </c>
      <c r="BD11" s="125">
        <v>42</v>
      </c>
      <c r="BE11" s="125">
        <v>43</v>
      </c>
      <c r="BF11" s="125">
        <v>44</v>
      </c>
      <c r="BG11" s="125">
        <v>45</v>
      </c>
      <c r="BH11" s="125">
        <v>47</v>
      </c>
      <c r="BI11" s="125">
        <v>48</v>
      </c>
      <c r="BJ11" s="125">
        <v>50</v>
      </c>
      <c r="BK11" s="125">
        <v>51</v>
      </c>
      <c r="BL11" s="125">
        <v>52</v>
      </c>
      <c r="BM11" s="125">
        <v>53</v>
      </c>
      <c r="BN11" s="125">
        <v>54</v>
      </c>
      <c r="BO11" s="125">
        <v>55</v>
      </c>
      <c r="BP11" s="124">
        <v>56</v>
      </c>
      <c r="BQ11" s="124">
        <v>57</v>
      </c>
      <c r="BR11" s="124">
        <v>58</v>
      </c>
      <c r="BS11" s="124">
        <v>59</v>
      </c>
      <c r="BT11" s="124"/>
      <c r="BU11" s="124"/>
      <c r="BV11" s="110"/>
      <c r="BW11" s="110"/>
      <c r="BX11" s="110"/>
      <c r="BY11" s="110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</row>
    <row r="12" spans="1:102" s="126" customFormat="1" ht="18.75">
      <c r="A12" s="179">
        <v>2202</v>
      </c>
      <c r="B12" s="179">
        <v>1</v>
      </c>
      <c r="C12" s="180" t="str">
        <f>IF(ISNA(VLOOKUP(B12,Master!AD$59:AP$106,3,FALSE)),"",VLOOKUP(B12,Master!AD$59:AP$106,3,FALSE))</f>
        <v>feJhyky</v>
      </c>
      <c r="D12" s="181" t="str">
        <f>IF(ISNA(VLOOKUP(B12,Master!AD$59:AP$106,7,FALSE)),"",VLOOKUP(B12,Master!AD$59:AP$106,7,FALSE))</f>
        <v>RJAJ199506021728</v>
      </c>
      <c r="E12" s="182">
        <f>IF(ISNA(VLOOKUP(B12,Master!AD$59:AP$106,8,FALSE)),"",VLOOKUP(B12,Master!AD$59:AP$106,8,FALSE))</f>
        <v>478909</v>
      </c>
      <c r="F12" s="183" t="str">
        <f>IF(ISNA(VLOOKUP(B12,Master!AD$59:AP$106,4,FALSE)),"",VLOOKUP(B12,Master!AD$59:AP$106,4,FALSE))</f>
        <v>PRINCIPAL</v>
      </c>
      <c r="G12" s="184">
        <f>IF(ISNA(VLOOKUP(B12,Master!AD$59:AP$106,5,FALSE)),"",VLOOKUP(B12,Master!AD$59:AP$106,5,FALSE))</f>
        <v>16</v>
      </c>
      <c r="H12" s="185">
        <v>93100</v>
      </c>
      <c r="I12" s="179">
        <f>IF(AND(H12=""),"",H12*12)</f>
        <v>1117200</v>
      </c>
      <c r="J12" s="181" t="str">
        <f ca="1">IF(AND(H12=""),"",IF(H12&lt;=0,"",(CONCATENATE("01.07.",(YEAR(TODAY())+1)))))</f>
        <v>01.07.2020</v>
      </c>
      <c r="K12" s="179">
        <f>IF(AND(H12=""),"",ROUND(ROUND(H12*3%,0),-2)*IF(G12="FIX PAY",0,1)*8)</f>
        <v>22400</v>
      </c>
      <c r="L12" s="179">
        <f>IF(AND(H12=""),"",I12+K12)</f>
        <v>1139600</v>
      </c>
      <c r="M12" s="179">
        <f>IF(AND(H12=""),"",IF(N12="FIX PAY",L12,((IF(N12="FIX PAY",0,AE12*4+H12*8)))))</f>
        <v>1106400</v>
      </c>
      <c r="N12" s="268" t="str">
        <f>IF(ISNA(VLOOKUP(B12,Master!AD$59:AP$106,12,FALSE)),"",VLOOKUP(B12,Master!AD$59:AP$106,12,FALSE))</f>
        <v>GAZETTED - REGULAR</v>
      </c>
      <c r="O12" s="262"/>
      <c r="P12" s="262">
        <f>IF(P68=1,"HANDICAP",0)</f>
        <v>0</v>
      </c>
      <c r="Q12" s="262"/>
      <c r="R12" s="262">
        <f>IF(AND(N12=Z$1),0,IF(AND(H12=0),0,$F$78*1*(IF(H12&lt;=0,0,1))*(IF(G12&lt;=12,1,0))))</f>
        <v>0</v>
      </c>
      <c r="S12" s="102">
        <f>IF(F12&gt;0,1,0)</f>
        <v>1</v>
      </c>
      <c r="T12" s="1" t="str">
        <f>IF(ISNA(VLOOKUP(B12,Master!AD$59:AP$106,10,FALSE)),"",VLOOKUP(B12,Master!AD$59:AP$106,10,FALSE))</f>
        <v>NO</v>
      </c>
      <c r="U12" s="127"/>
      <c r="V12" s="127"/>
      <c r="W12" s="128" t="str">
        <f>IF(ISNA(VLOOKUP(B12,Master!AD$59:AP$106,11,FALSE)),"",VLOOKUP(B12,Master!AD$59:AP$106,11,FALSE))</f>
        <v>NO</v>
      </c>
      <c r="X12" s="128" t="str">
        <f>IF(ISNA(VLOOKUP(B12,Master!AD$59:AP$106,9,FALSE)),"",VLOOKUP(B12,Master!AD$59:AP$106,9,FALSE))</f>
        <v>MALE</v>
      </c>
      <c r="Y12" s="129">
        <f t="shared" ref="Y12:Y25" si="0">IF(X12="MALE",1,0)*(IF(F12="JAMADAR",1,0))*(IF(H12&lt;=0,0,1))</f>
        <v>0</v>
      </c>
      <c r="Z12" s="129">
        <f t="shared" ref="Z12:Z25" si="1">IF(X12="FEMALE",1,0)*(IF(F12="JAMADAR",1,0))*(IF(H12&lt;=0,0,1))</f>
        <v>0</v>
      </c>
      <c r="AA12" s="129">
        <f t="shared" ref="AA12:AA25" si="2">IF(X12="MALE",1,0)*(IF(F12="LAB BOY",1,0))*(IF(H12&lt;=0,0,1))</f>
        <v>0</v>
      </c>
      <c r="AB12" s="129">
        <f t="shared" ref="AB12:AB25" si="3">IF(X12="FEMALE",1,0)*(IF(F12="LAB BOY",1,0))*(IF(H12&lt;=0,0,1))</f>
        <v>0</v>
      </c>
      <c r="AC12" s="129">
        <f t="shared" ref="AC12:AC25" si="4">IF(X12="MALE",1,0)*(IF(F12="PEON",1,0))*(IF(H12&lt;=0,0,1))</f>
        <v>0</v>
      </c>
      <c r="AD12" s="129">
        <f t="shared" ref="AD12:AD25" si="5">IF(X12="FEMALE",1,0)*(IF(F12="PEON",1,0))*(IF(H12&lt;=0,0,1))</f>
        <v>0</v>
      </c>
      <c r="AE12" s="130">
        <f>IF(AND(H12=""),"",H12-ROUNDUP(ROUND((H12*3%)-(H12*3%)*2.9%,-2),0))</f>
        <v>90400</v>
      </c>
      <c r="AF12" s="130">
        <f>IF(AND(H12=""),"",$L12*$BP12)</f>
        <v>1139600</v>
      </c>
      <c r="AG12" s="130">
        <f>IF(AND(H12=""),"",$L12*$BQ12)</f>
        <v>0</v>
      </c>
      <c r="AH12" s="130">
        <f>IF(AND(H12=""),"",$L12*$BR12)</f>
        <v>0</v>
      </c>
      <c r="AI12" s="130">
        <f>IF(AND(H12=""),"",$L12*$BS12)</f>
        <v>0</v>
      </c>
      <c r="AJ12" s="128">
        <f>IF(AND(AF12=""),"",ROUND((AF12+AG12)*$AJ$10,0)*BT12)</f>
        <v>0</v>
      </c>
      <c r="AK12" s="128">
        <v>0</v>
      </c>
      <c r="AL12" s="129">
        <v>0</v>
      </c>
      <c r="AM12" s="128">
        <f>IF(AND(AF12=""),"",ROUND((AF12+AG12)*$AM$10,0)*BT12)</f>
        <v>0</v>
      </c>
      <c r="AN12" s="129">
        <f t="shared" ref="AN12:AN25" si="6">$F$78*BQ12*BT12*(IF(H12&lt;=0,0,1))*(IF(G12&lt;=4800,1,0))</f>
        <v>0</v>
      </c>
      <c r="AO12" s="128">
        <f>IF(AND(H12=""),0,ROUND((H12+ROUND(H12*$AJ$10,0))/2,0)*(IF(N12="FIX PAY",0,1)))</f>
        <v>52136</v>
      </c>
      <c r="AP12" s="128">
        <f t="shared" ref="AP12:AP25" si="7">IF(F12="CLERK GRADE I",1,IF(F12="CLERK GRADE II",1,0))*75*12*BT12*(IF(H12&lt;=0,0,1))*BU12</f>
        <v>0</v>
      </c>
      <c r="AQ12" s="128">
        <f t="shared" ref="AQ12:AQ25" si="8">IF(AND(H12=""),0,(IF(F12="ASSISTANT",12,IF(F12="CLERK GRADE I",12,IF(F12="CLERK GRADE II",12,IF(F12="FIELDMAN &amp; FIELD REC",12,IF(F12="LAB BOY",12,IF(F12="JAMADAR",12,IF(F12="PEON",12,10))))))))*(MINA(ROUND(H12*6%,0),600))*(IF($T12="Yes",1,0)))</f>
        <v>0</v>
      </c>
      <c r="AR12" s="128">
        <f t="shared" ref="AR12:AR25" si="9">(IF(F12="LAB BOY",150,IF(F12="JAMADAR",150,IF(F12="PEON",150,0))))*12*BT12*(IF(H12&lt;=0,0,1))</f>
        <v>0</v>
      </c>
      <c r="AS12" s="130">
        <f t="shared" ref="AS12:AS25" si="10">IF(AND(F12=""),0,SUM(AJ12:AR12)+AF12+AG12)</f>
        <v>1191736</v>
      </c>
      <c r="AT12" s="130">
        <f t="shared" ref="AT12:AT25" si="11">IF(AND(F12=""),0,AS12)</f>
        <v>1191736</v>
      </c>
      <c r="AU12" s="128"/>
      <c r="AV12" s="128"/>
      <c r="AW12" s="130">
        <f t="shared" ref="AW12:AW25" si="12">AT12+AU12+AV12</f>
        <v>1191736</v>
      </c>
      <c r="AX12" s="130">
        <f t="shared" ref="AX12:AX25" si="13">IF(AND(F12=""),0,M12*BP12)</f>
        <v>1106400</v>
      </c>
      <c r="AY12" s="130">
        <f t="shared" ref="AY12:AY25" si="14">IF(AND(F12=""),0,M12*BQ12)</f>
        <v>0</v>
      </c>
      <c r="AZ12" s="130">
        <f t="shared" ref="AZ12:AZ25" si="15">IF(AND(F12=""),0,M12*BR12)</f>
        <v>0</v>
      </c>
      <c r="BA12" s="130">
        <f t="shared" ref="BA12:BA25" si="16">IF(AND(F12=""),0,M12*BS12)</f>
        <v>0</v>
      </c>
      <c r="BB12" s="128">
        <f t="shared" ref="BB12:BB25" si="17">ROUND((AX12+AY12)*$BB$10,0)*BT12</f>
        <v>0</v>
      </c>
      <c r="BC12" s="128">
        <f t="shared" ref="BC12:BC25" si="18">IF(AND(F12=""),0,ROUND((IF(N12="FIX PAY",0,AE12))*$BC$10*2,0)*BT12)</f>
        <v>0</v>
      </c>
      <c r="BD12" s="129">
        <v>0</v>
      </c>
      <c r="BE12" s="128">
        <f t="shared" ref="BE12:BE25" si="19">ROUND((AX12+AY12)*$BE$10,0)*BT12</f>
        <v>0</v>
      </c>
      <c r="BF12" s="129">
        <f t="shared" ref="BF12:BF25" si="20">$F$78*2*BQ12*BT12*(IF(H12&lt;=0,0,1))*(IF(G12&lt;=4800,1,0))</f>
        <v>0</v>
      </c>
      <c r="BG12" s="128">
        <f>IF(AND(H12=""),0,ROUND((AE12+ROUND(AE12*$AJ$10,0))/2,0)*(IF(N12="FIX PAY",0,1)))</f>
        <v>50624</v>
      </c>
      <c r="BH12" s="128">
        <f t="shared" ref="BH12:BH25" si="21">IF(F12="CLERK GRADE I",1,IF(F12="CLERK GRADE II",1,0))*75*12*BT12*(IF(H12&lt;=0,0,1))*BU12</f>
        <v>0</v>
      </c>
      <c r="BI12" s="128">
        <f t="shared" ref="BI12:BI25" si="22">IF(AND(F12=""),0,(IF(F12="ASSISTANT",12,IF(F12="CLERK GRADE I",12,IF(F12="CLERK GRADE II",12,IF(F12="FIELDMAN &amp; FIELD REC",12,IF(F12="LAB BOY",12,IF(F12="JAMADAR",12,IF(F12="PEON",12,10))))))))*(MINA(ROUND(AE12*6%,0),600))*(IF($T12="yes",1,)))</f>
        <v>0</v>
      </c>
      <c r="BJ12" s="128">
        <f t="shared" ref="BJ12:BJ25" si="23">(IF(F12="LAB BOY",150,IF(F12="JAMADAR",150,IF(F12="PEON",150,0))))*12*BT12*(IF(H12&lt;=0,0,1))</f>
        <v>0</v>
      </c>
      <c r="BK12" s="130">
        <f t="shared" ref="BK12:BK25" si="24">SUM(BB12:BJ12)+AX12+AY12</f>
        <v>1157024</v>
      </c>
      <c r="BL12" s="130">
        <f t="shared" ref="BL12:BL25" si="25">BK12</f>
        <v>1157024</v>
      </c>
      <c r="BM12" s="128"/>
      <c r="BN12" s="128"/>
      <c r="BO12" s="130">
        <f t="shared" ref="BO12:BO25" si="26">BL12+BM12+BN12</f>
        <v>1157024</v>
      </c>
      <c r="BP12" s="124">
        <f t="shared" ref="BP12:BP25" si="27">(IF(F12="PRINCIPAL",1,IF(F12="H M",1,IF(F12="AGRICULTURE INST",1,IF(F12="TEACHER-1ST",1,IF(F12="PTI  I  (13)",1,IF(F12="AGRICULTURE TEACH",1,IF(F12="INSTRUCTOR",1,0))))))))+(IF(F12="JR TEACHER",1,IF(F12="LIBRARIAN I",1,0)))*(IF(N12="FIX PAY",0,1))</f>
        <v>1</v>
      </c>
      <c r="BQ12" s="124">
        <f t="shared" ref="BQ12:BQ25" si="28">IF(BP12&lt;=0,1,0)*(IF(N12="FIX PAY",0,1))</f>
        <v>0</v>
      </c>
      <c r="BR12" s="124">
        <f t="shared" ref="BR12:BR25" si="29">(IF(F12="PRINCIPAL (16)",1,IF(F12="V P (14)",1,IF(F12="H M (14)",1,IF(F12="AGRICULTURE INST (13)",1,IF(F12="TEACHER-1ST (13)",1,IF(F12="PTI  I  (13)",1,IF(F12="AGRICULTURE TEACH (13)",1,IF(F12="INSTRUCTOR (13)",1,0))))))))+(IF(F12="JR TEACHER (13)",1,IF(F12="LIBRARIAN I (13)",1,0))))*(IF(N12="FIX PAY",1,0))</f>
        <v>0</v>
      </c>
      <c r="BS12" s="124">
        <f t="shared" ref="BS12:BS25" si="30">IF(BR12&lt;=0,1,0)*(IF(N12="FIX PAY",1,0))</f>
        <v>0</v>
      </c>
      <c r="BT12" s="124">
        <f>IF(N12="FIX PAY",1,0)</f>
        <v>0</v>
      </c>
      <c r="BU12" s="124">
        <f t="shared" ref="BU12:BU25" si="31">IF(W12="No",0,1)</f>
        <v>0</v>
      </c>
      <c r="BV12" s="110">
        <f t="shared" ref="BV12:BV25" si="32">IF((ROUND((SUMPRODUCT(MID(0&amp;D12,LARGE(INDEX(ISNUMBER(--MID(D12,ROW($1:$25),1))* ROW($1:$25),0),ROW($1:$25))+1,1)*10^ROW($1:$25)/10)),-8)/100000000)&gt;=2004,1,0)</f>
        <v>0</v>
      </c>
      <c r="BW12" s="131">
        <f>IF(H12&lt;=0,0,1)</f>
        <v>1</v>
      </c>
      <c r="BX12" s="110">
        <f>IF(N12="SANVIDA",1,0)</f>
        <v>0</v>
      </c>
      <c r="BY12" s="110">
        <f>IF(BX12&gt;0,H12,0)</f>
        <v>0</v>
      </c>
      <c r="BZ12" s="99">
        <f t="shared" ref="BZ12:BZ25" si="33">IF(AND(D12=""),"",IF(AND(D12&lt;=0),"",IF((ROUND((SUMPRODUCT(MID(0&amp;D12,LARGE(INDEX(ISNUMBER(--MID(D12,ROW($1:$70),1))* ROW($1:$70),0),ROW($1:$70))+1,1)*10^ROW($1:$70)/10)),-8)/100000000)&lt;2004,1,0)))</f>
        <v>1</v>
      </c>
      <c r="CA12" s="132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</row>
    <row r="13" spans="1:102" s="126" customFormat="1" ht="18.75">
      <c r="A13" s="179">
        <v>2202</v>
      </c>
      <c r="B13" s="179">
        <v>2</v>
      </c>
      <c r="C13" s="180" t="str">
        <f>IF(ISNA(VLOOKUP(B13,Master!AD$59:AP$106,3,FALSE)),"",VLOOKUP(B13,Master!AD$59:AP$106,3,FALSE))</f>
        <v>lkaojey ;kno</v>
      </c>
      <c r="D13" s="181" t="str">
        <f>IF(ISNA(VLOOKUP(B13,Master!AD$59:AP$106,7,FALSE)),"",VLOOKUP(B13,Master!AD$59:AP$106,7,FALSE))</f>
        <v>RJPA200529010447</v>
      </c>
      <c r="E13" s="182">
        <f>IF(ISNA(VLOOKUP(B13,Master!AD$59:AP$106,8,FALSE)),"",VLOOKUP(B13,Master!AD$59:AP$106,8,FALSE))</f>
        <v>110041926330</v>
      </c>
      <c r="F13" s="183" t="str">
        <f>IF(ISNA(VLOOKUP(B13,Master!AD$59:AP$106,4,FALSE)),"",VLOOKUP(B13,Master!AD$59:AP$106,4,FALSE))</f>
        <v>TEACHER-I</v>
      </c>
      <c r="G13" s="184">
        <f>IF(ISNA(VLOOKUP(B13,Master!AD$59:AP$106,5,FALSE)),"",VLOOKUP(B13,Master!AD$59:AP$106,5,FALSE))</f>
        <v>12</v>
      </c>
      <c r="H13" s="185">
        <f>IF(ISNA(VLOOKUP(B13,Master!AD$59:AP$106,6,FALSE)),"",VLOOKUP(B13,Master!AD$59:AP$106,6,FALSE))</f>
        <v>45600</v>
      </c>
      <c r="I13" s="179">
        <f t="shared" ref="I13:I25" si="34">IF(AND(H13=""),"",H13*12)</f>
        <v>547200</v>
      </c>
      <c r="J13" s="181" t="str">
        <f t="shared" ref="J13:J25" ca="1" si="35">IF(AND(H13=""),"",IF(H13&lt;=0,"",(CONCATENATE("01.07.",(YEAR(TODAY())+1)))))</f>
        <v>01.07.2020</v>
      </c>
      <c r="K13" s="179">
        <f t="shared" ref="K13:K25" si="36">IF(AND(H13=""),"",ROUND(ROUND(H13*3%,0),-2)*IF(G13="FIX PAY",0,1)*8)</f>
        <v>11200</v>
      </c>
      <c r="L13" s="179">
        <f t="shared" ref="L13:L25" si="37">IF(AND(H13=""),"",I13+K13)</f>
        <v>558400</v>
      </c>
      <c r="M13" s="179">
        <f t="shared" ref="M13:M25" si="38">IF(AND(H13=""),"",IF(N13="FIX PAY",L13,((IF(N13="FIX PAY",0,AE13*4+H13*8)))))</f>
        <v>542000</v>
      </c>
      <c r="N13" s="268" t="str">
        <f>IF(ISNA(VLOOKUP(B13,Master!AD$59:AP$106,12,FALSE)),"",VLOOKUP(B13,Master!AD$59:AP$106,12,FALSE))</f>
        <v>GAZETTED - REGULAR</v>
      </c>
      <c r="O13" s="262"/>
      <c r="P13" s="262"/>
      <c r="Q13" s="262"/>
      <c r="R13" s="262">
        <f t="shared" ref="R13:R25" si="39">IF(AND(N13=Z$1),0,IF(AND(H13=0),0,$F$78*1*(IF(H13&lt;=0,0,1))*(IF(G13&lt;=12,1,0))))</f>
        <v>0</v>
      </c>
      <c r="S13" s="102">
        <f t="shared" ref="S13:S34" si="40">IF(F13&gt;0,1,0)</f>
        <v>1</v>
      </c>
      <c r="T13" s="1" t="str">
        <f>IF(ISNA(VLOOKUP(B13,Master!AD$59:AP$106,10,FALSE)),"",VLOOKUP(B13,Master!AD$59:AP$106,10,FALSE))</f>
        <v>NO</v>
      </c>
      <c r="U13" s="127"/>
      <c r="V13" s="127"/>
      <c r="W13" s="128" t="str">
        <f>IF(ISNA(VLOOKUP(B13,Master!AD$59:AP$106,11,FALSE)),"",VLOOKUP(B13,Master!AD$59:AP$106,11,FALSE))</f>
        <v>NO</v>
      </c>
      <c r="X13" s="128" t="str">
        <f>IF(ISNA(VLOOKUP(B13,Master!AD$59:AP$106,9,FALSE)),"",VLOOKUP(B13,Master!AD$59:AP$106,9,FALSE))</f>
        <v>MALE</v>
      </c>
      <c r="Y13" s="129">
        <f t="shared" si="0"/>
        <v>0</v>
      </c>
      <c r="Z13" s="129">
        <f t="shared" si="1"/>
        <v>0</v>
      </c>
      <c r="AA13" s="129">
        <f t="shared" si="2"/>
        <v>0</v>
      </c>
      <c r="AB13" s="129">
        <f t="shared" si="3"/>
        <v>0</v>
      </c>
      <c r="AC13" s="129">
        <f t="shared" si="4"/>
        <v>0</v>
      </c>
      <c r="AD13" s="129">
        <f t="shared" si="5"/>
        <v>0</v>
      </c>
      <c r="AE13" s="130">
        <f t="shared" ref="AE13:AE25" si="41">IF(AND(H13=""),"",H13-ROUNDUP(ROUND((H13*3%)-(H13*3%)*2.9%,-2),0))</f>
        <v>44300</v>
      </c>
      <c r="AF13" s="130">
        <f t="shared" ref="AF13:AF25" si="42">IF(AND(H13=""),"",$L13*$BP13)</f>
        <v>0</v>
      </c>
      <c r="AG13" s="130">
        <f t="shared" ref="AG13:AG25" si="43">IF(AND(H13=""),"",$L13*$BQ13)</f>
        <v>558400</v>
      </c>
      <c r="AH13" s="130">
        <f t="shared" ref="AH13:AH25" si="44">IF(AND(H13=""),"",$L13*$BR13)</f>
        <v>0</v>
      </c>
      <c r="AI13" s="130">
        <f t="shared" ref="AI13:AI25" si="45">IF(AND(H13=""),"",$L13*$BS13)</f>
        <v>0</v>
      </c>
      <c r="AJ13" s="128">
        <f t="shared" ref="AJ13:AJ25" si="46">IF(AND(AF13=""),"",ROUND((AF13+AG13)*$AJ$10,0)*BT13)</f>
        <v>0</v>
      </c>
      <c r="AK13" s="128">
        <v>0</v>
      </c>
      <c r="AL13" s="129">
        <v>0</v>
      </c>
      <c r="AM13" s="128">
        <f t="shared" ref="AM13:AM24" si="47">IF(AND(AF13=""),"",ROUND((AF13+AG13)*$AM$10,0)*BT13)</f>
        <v>0</v>
      </c>
      <c r="AN13" s="129">
        <f t="shared" si="6"/>
        <v>0</v>
      </c>
      <c r="AO13" s="128">
        <f t="shared" ref="AO13:AO70" si="48">IF(AND(H13=""),0,ROUND((H13+ROUND(H13*$AJ$10,0))/2,0)*(IF(N13="FIX PAY",0,1)))</f>
        <v>25536</v>
      </c>
      <c r="AP13" s="128">
        <f t="shared" si="7"/>
        <v>0</v>
      </c>
      <c r="AQ13" s="128">
        <f t="shared" si="8"/>
        <v>0</v>
      </c>
      <c r="AR13" s="128">
        <f t="shared" si="9"/>
        <v>0</v>
      </c>
      <c r="AS13" s="130">
        <f t="shared" si="10"/>
        <v>583936</v>
      </c>
      <c r="AT13" s="130">
        <f t="shared" si="11"/>
        <v>583936</v>
      </c>
      <c r="AU13" s="128"/>
      <c r="AV13" s="128"/>
      <c r="AW13" s="130">
        <f t="shared" si="12"/>
        <v>583936</v>
      </c>
      <c r="AX13" s="130">
        <f t="shared" si="13"/>
        <v>0</v>
      </c>
      <c r="AY13" s="130">
        <f t="shared" si="14"/>
        <v>542000</v>
      </c>
      <c r="AZ13" s="130">
        <f t="shared" si="15"/>
        <v>0</v>
      </c>
      <c r="BA13" s="130">
        <f t="shared" si="16"/>
        <v>0</v>
      </c>
      <c r="BB13" s="128">
        <f t="shared" si="17"/>
        <v>0</v>
      </c>
      <c r="BC13" s="128">
        <f t="shared" si="18"/>
        <v>0</v>
      </c>
      <c r="BD13" s="129">
        <v>0</v>
      </c>
      <c r="BE13" s="128">
        <f t="shared" si="19"/>
        <v>0</v>
      </c>
      <c r="BF13" s="129">
        <f t="shared" si="20"/>
        <v>0</v>
      </c>
      <c r="BG13" s="128">
        <f t="shared" ref="BG13:BG70" si="49">IF(AND(H13=""),0,ROUND((AE13+ROUND(AE13*$AJ$10,0))/2,0)*(IF(N13="FIX PAY",0,1)))</f>
        <v>24808</v>
      </c>
      <c r="BH13" s="128">
        <f t="shared" si="21"/>
        <v>0</v>
      </c>
      <c r="BI13" s="128">
        <f t="shared" si="22"/>
        <v>0</v>
      </c>
      <c r="BJ13" s="128">
        <f t="shared" si="23"/>
        <v>0</v>
      </c>
      <c r="BK13" s="130">
        <f t="shared" si="24"/>
        <v>566808</v>
      </c>
      <c r="BL13" s="130">
        <f t="shared" si="25"/>
        <v>566808</v>
      </c>
      <c r="BM13" s="128"/>
      <c r="BN13" s="128"/>
      <c r="BO13" s="130">
        <f t="shared" si="26"/>
        <v>566808</v>
      </c>
      <c r="BP13" s="124">
        <f t="shared" si="27"/>
        <v>0</v>
      </c>
      <c r="BQ13" s="124">
        <f>IF(BP13&lt;=0,1,0)*(IF(N13="FIX PAY",0,1))</f>
        <v>1</v>
      </c>
      <c r="BR13" s="124">
        <f t="shared" si="29"/>
        <v>0</v>
      </c>
      <c r="BS13" s="124">
        <f t="shared" si="30"/>
        <v>0</v>
      </c>
      <c r="BT13" s="124">
        <f t="shared" ref="BT13:BT70" si="50">IF(N13="FIX PAY",1,0)</f>
        <v>0</v>
      </c>
      <c r="BU13" s="124">
        <f t="shared" si="31"/>
        <v>0</v>
      </c>
      <c r="BV13" s="110">
        <f t="shared" si="32"/>
        <v>1</v>
      </c>
      <c r="BW13" s="131">
        <f t="shared" ref="BW13:BW25" si="51">IF(H13&lt;=0,0,1)</f>
        <v>1</v>
      </c>
      <c r="BX13" s="110">
        <f t="shared" ref="BX13:BX70" si="52">IF(N13="SANVIDA",1,0)</f>
        <v>0</v>
      </c>
      <c r="BY13" s="110">
        <f t="shared" ref="BY13:BY70" si="53">IF(BX13&gt;0,H13,0)</f>
        <v>0</v>
      </c>
      <c r="BZ13" s="99">
        <f t="shared" si="33"/>
        <v>0</v>
      </c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</row>
    <row r="14" spans="1:102" s="126" customFormat="1" ht="18.75">
      <c r="A14" s="179">
        <v>2202</v>
      </c>
      <c r="B14" s="179">
        <v>3</v>
      </c>
      <c r="C14" s="180" t="str">
        <f>IF(ISNA(VLOOKUP(B14,Master!AD$59:AP$106,3,FALSE)),"",VLOOKUP(B14,Master!AD$59:AP$106,3,FALSE))</f>
        <v>dY;k.kfalg</v>
      </c>
      <c r="D14" s="181" t="str">
        <f>IF(ISNA(VLOOKUP(B14,Master!AD$59:AP$106,7,FALSE)),"",VLOOKUP(B14,Master!AD$59:AP$106,7,FALSE))</f>
        <v>RJPA199129005853</v>
      </c>
      <c r="E14" s="182">
        <f>IF(ISNA(VLOOKUP(B14,Master!AD$59:AP$106,8,FALSE)),"",VLOOKUP(B14,Master!AD$59:AP$106,8,FALSE))</f>
        <v>690644</v>
      </c>
      <c r="F14" s="183" t="str">
        <f>IF(ISNA(VLOOKUP(B14,Master!AD$59:AP$106,4,FALSE)),"",VLOOKUP(B14,Master!AD$59:AP$106,4,FALSE))</f>
        <v>TEACHER-I</v>
      </c>
      <c r="G14" s="184">
        <f>IF(ISNA(VLOOKUP(B14,Master!AD$59:AP$106,5,FALSE)),"",VLOOKUP(B14,Master!AD$59:AP$106,5,FALSE))</f>
        <v>12</v>
      </c>
      <c r="H14" s="185">
        <f>IF(ISNA(VLOOKUP(B14,Master!AD$59:AP$106,6,FALSE)),"",VLOOKUP(B14,Master!AD$59:AP$106,6,FALSE))</f>
        <v>46500</v>
      </c>
      <c r="I14" s="179">
        <f t="shared" si="34"/>
        <v>558000</v>
      </c>
      <c r="J14" s="181" t="str">
        <f t="shared" ca="1" si="35"/>
        <v>01.07.2020</v>
      </c>
      <c r="K14" s="179">
        <f t="shared" si="36"/>
        <v>11200</v>
      </c>
      <c r="L14" s="179">
        <f t="shared" si="37"/>
        <v>569200</v>
      </c>
      <c r="M14" s="179">
        <f t="shared" si="38"/>
        <v>552400</v>
      </c>
      <c r="N14" s="268" t="str">
        <f>IF(ISNA(VLOOKUP(B14,Master!AD$59:AP$106,12,FALSE)),"",VLOOKUP(B14,Master!AD$59:AP$106,12,FALSE))</f>
        <v>GAZETTED - REGULAR</v>
      </c>
      <c r="O14" s="262"/>
      <c r="P14" s="262"/>
      <c r="Q14" s="262"/>
      <c r="R14" s="262">
        <f t="shared" si="39"/>
        <v>0</v>
      </c>
      <c r="S14" s="102">
        <f t="shared" si="40"/>
        <v>1</v>
      </c>
      <c r="T14" s="1" t="str">
        <f>IF(ISNA(VLOOKUP(B14,Master!AD$59:AP$106,10,FALSE)),"",VLOOKUP(B14,Master!AD$59:AP$106,10,FALSE))</f>
        <v>NO</v>
      </c>
      <c r="U14" s="127"/>
      <c r="V14" s="127"/>
      <c r="W14" s="128" t="str">
        <f>IF(ISNA(VLOOKUP(B14,Master!AD$59:AP$106,11,FALSE)),"",VLOOKUP(B14,Master!AD$59:AP$106,11,FALSE))</f>
        <v>NO</v>
      </c>
      <c r="X14" s="128" t="str">
        <f>IF(ISNA(VLOOKUP(B14,Master!AD$59:AP$106,9,FALSE)),"",VLOOKUP(B14,Master!AD$59:AP$106,9,FALSE))</f>
        <v>MALE</v>
      </c>
      <c r="Y14" s="129">
        <f t="shared" si="0"/>
        <v>0</v>
      </c>
      <c r="Z14" s="129">
        <f t="shared" si="1"/>
        <v>0</v>
      </c>
      <c r="AA14" s="129">
        <f t="shared" si="2"/>
        <v>0</v>
      </c>
      <c r="AB14" s="129">
        <f t="shared" si="3"/>
        <v>0</v>
      </c>
      <c r="AC14" s="129">
        <f t="shared" si="4"/>
        <v>0</v>
      </c>
      <c r="AD14" s="129">
        <f t="shared" si="5"/>
        <v>0</v>
      </c>
      <c r="AE14" s="130">
        <f t="shared" si="41"/>
        <v>45100</v>
      </c>
      <c r="AF14" s="130">
        <f t="shared" si="42"/>
        <v>0</v>
      </c>
      <c r="AG14" s="130">
        <f t="shared" si="43"/>
        <v>569200</v>
      </c>
      <c r="AH14" s="130">
        <f t="shared" si="44"/>
        <v>0</v>
      </c>
      <c r="AI14" s="130">
        <f t="shared" si="45"/>
        <v>0</v>
      </c>
      <c r="AJ14" s="128">
        <f t="shared" si="46"/>
        <v>0</v>
      </c>
      <c r="AK14" s="128">
        <v>0</v>
      </c>
      <c r="AL14" s="129">
        <v>0</v>
      </c>
      <c r="AM14" s="128">
        <f t="shared" si="47"/>
        <v>0</v>
      </c>
      <c r="AN14" s="129">
        <f t="shared" si="6"/>
        <v>0</v>
      </c>
      <c r="AO14" s="128">
        <f t="shared" si="48"/>
        <v>26040</v>
      </c>
      <c r="AP14" s="128">
        <f t="shared" si="7"/>
        <v>0</v>
      </c>
      <c r="AQ14" s="128">
        <f t="shared" si="8"/>
        <v>0</v>
      </c>
      <c r="AR14" s="128">
        <f t="shared" si="9"/>
        <v>0</v>
      </c>
      <c r="AS14" s="130">
        <f t="shared" si="10"/>
        <v>595240</v>
      </c>
      <c r="AT14" s="130">
        <f t="shared" si="11"/>
        <v>595240</v>
      </c>
      <c r="AU14" s="128"/>
      <c r="AV14" s="128"/>
      <c r="AW14" s="130">
        <f t="shared" si="12"/>
        <v>595240</v>
      </c>
      <c r="AX14" s="130">
        <f t="shared" si="13"/>
        <v>0</v>
      </c>
      <c r="AY14" s="130">
        <f t="shared" si="14"/>
        <v>552400</v>
      </c>
      <c r="AZ14" s="130">
        <f t="shared" si="15"/>
        <v>0</v>
      </c>
      <c r="BA14" s="130">
        <f t="shared" si="16"/>
        <v>0</v>
      </c>
      <c r="BB14" s="128">
        <f t="shared" si="17"/>
        <v>0</v>
      </c>
      <c r="BC14" s="128">
        <f t="shared" si="18"/>
        <v>0</v>
      </c>
      <c r="BD14" s="129">
        <v>0</v>
      </c>
      <c r="BE14" s="128">
        <f t="shared" si="19"/>
        <v>0</v>
      </c>
      <c r="BF14" s="129">
        <f t="shared" si="20"/>
        <v>0</v>
      </c>
      <c r="BG14" s="128">
        <f t="shared" si="49"/>
        <v>25256</v>
      </c>
      <c r="BH14" s="128">
        <f t="shared" si="21"/>
        <v>0</v>
      </c>
      <c r="BI14" s="128">
        <f t="shared" si="22"/>
        <v>0</v>
      </c>
      <c r="BJ14" s="128">
        <f t="shared" si="23"/>
        <v>0</v>
      </c>
      <c r="BK14" s="130">
        <f t="shared" si="24"/>
        <v>577656</v>
      </c>
      <c r="BL14" s="130">
        <f t="shared" si="25"/>
        <v>577656</v>
      </c>
      <c r="BM14" s="128"/>
      <c r="BN14" s="128"/>
      <c r="BO14" s="130">
        <f t="shared" si="26"/>
        <v>577656</v>
      </c>
      <c r="BP14" s="124">
        <f t="shared" si="27"/>
        <v>0</v>
      </c>
      <c r="BQ14" s="124">
        <f t="shared" si="28"/>
        <v>1</v>
      </c>
      <c r="BR14" s="124">
        <f t="shared" si="29"/>
        <v>0</v>
      </c>
      <c r="BS14" s="124">
        <f t="shared" si="30"/>
        <v>0</v>
      </c>
      <c r="BT14" s="124">
        <f t="shared" si="50"/>
        <v>0</v>
      </c>
      <c r="BU14" s="124">
        <f t="shared" si="31"/>
        <v>0</v>
      </c>
      <c r="BV14" s="110">
        <f t="shared" si="32"/>
        <v>0</v>
      </c>
      <c r="BW14" s="131">
        <f t="shared" si="51"/>
        <v>1</v>
      </c>
      <c r="BX14" s="110">
        <f t="shared" si="52"/>
        <v>0</v>
      </c>
      <c r="BY14" s="110">
        <f t="shared" si="53"/>
        <v>0</v>
      </c>
      <c r="BZ14" s="99">
        <f t="shared" si="33"/>
        <v>1</v>
      </c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</row>
    <row r="15" spans="1:102" s="126" customFormat="1" ht="18.75">
      <c r="A15" s="179">
        <v>2202</v>
      </c>
      <c r="B15" s="179">
        <v>4</v>
      </c>
      <c r="C15" s="180" t="str">
        <f>IF(ISNA(VLOOKUP(B15,Master!AD$59:AP$106,3,FALSE)),"",VLOOKUP(B15,Master!AD$59:AP$106,3,FALSE))</f>
        <v>Hkxokuflag</v>
      </c>
      <c r="D15" s="181" t="str">
        <f>IF(ISNA(VLOOKUP(B15,Master!AD$59:AP$106,7,FALSE)),"",VLOOKUP(B15,Master!AD$59:AP$106,7,FALSE))</f>
        <v>RJPA199529003872</v>
      </c>
      <c r="E15" s="182">
        <f>IF(ISNA(VLOOKUP(B15,Master!AD$59:AP$106,8,FALSE)),"",VLOOKUP(B15,Master!AD$59:AP$106,8,FALSE))</f>
        <v>811892</v>
      </c>
      <c r="F15" s="183" t="str">
        <f>IF(ISNA(VLOOKUP(B15,Master!AD$59:AP$106,4,FALSE)),"",VLOOKUP(B15,Master!AD$59:AP$106,4,FALSE))</f>
        <v>TEACHER-I</v>
      </c>
      <c r="G15" s="184">
        <f>IF(ISNA(VLOOKUP(B15,Master!AD$59:AP$106,5,FALSE)),"",VLOOKUP(B15,Master!AD$59:AP$106,5,FALSE))</f>
        <v>12</v>
      </c>
      <c r="H15" s="185">
        <f>IF(ISNA(VLOOKUP(B15,Master!AD$59:AP$106,6,FALSE)),"",VLOOKUP(B15,Master!AD$59:AP$106,6,FALSE))</f>
        <v>69300</v>
      </c>
      <c r="I15" s="179">
        <f t="shared" si="34"/>
        <v>831600</v>
      </c>
      <c r="J15" s="181" t="str">
        <f t="shared" ca="1" si="35"/>
        <v>01.07.2020</v>
      </c>
      <c r="K15" s="179">
        <f t="shared" si="36"/>
        <v>16800</v>
      </c>
      <c r="L15" s="179">
        <f t="shared" si="37"/>
        <v>848400</v>
      </c>
      <c r="M15" s="179">
        <f t="shared" si="38"/>
        <v>823600</v>
      </c>
      <c r="N15" s="268" t="str">
        <f>IF(ISNA(VLOOKUP(B15,Master!AD$59:AP$106,12,FALSE)),"",VLOOKUP(B15,Master!AD$59:AP$106,12,FALSE))</f>
        <v>GAZETTED - REGULAR</v>
      </c>
      <c r="O15" s="262"/>
      <c r="P15" s="262"/>
      <c r="Q15" s="262"/>
      <c r="R15" s="262">
        <f t="shared" si="39"/>
        <v>0</v>
      </c>
      <c r="S15" s="102">
        <f t="shared" si="40"/>
        <v>1</v>
      </c>
      <c r="T15" s="1" t="str">
        <f>IF(ISNA(VLOOKUP(B15,Master!AD$59:AP$106,10,FALSE)),"",VLOOKUP(B15,Master!AD$59:AP$106,10,FALSE))</f>
        <v>NO</v>
      </c>
      <c r="U15" s="127"/>
      <c r="V15" s="127"/>
      <c r="W15" s="128" t="str">
        <f>IF(ISNA(VLOOKUP(B15,Master!AD$59:AP$106,11,FALSE)),"",VLOOKUP(B15,Master!AD$59:AP$106,11,FALSE))</f>
        <v>NO</v>
      </c>
      <c r="X15" s="128" t="str">
        <f>IF(ISNA(VLOOKUP(B15,Master!AD$59:AP$106,9,FALSE)),"",VLOOKUP(B15,Master!AD$59:AP$106,9,FALSE))</f>
        <v>MALE</v>
      </c>
      <c r="Y15" s="129">
        <f t="shared" si="0"/>
        <v>0</v>
      </c>
      <c r="Z15" s="129">
        <f t="shared" si="1"/>
        <v>0</v>
      </c>
      <c r="AA15" s="129">
        <f t="shared" si="2"/>
        <v>0</v>
      </c>
      <c r="AB15" s="129">
        <f t="shared" si="3"/>
        <v>0</v>
      </c>
      <c r="AC15" s="129">
        <f t="shared" si="4"/>
        <v>0</v>
      </c>
      <c r="AD15" s="129">
        <f t="shared" si="5"/>
        <v>0</v>
      </c>
      <c r="AE15" s="130">
        <f t="shared" si="41"/>
        <v>67300</v>
      </c>
      <c r="AF15" s="130">
        <f t="shared" si="42"/>
        <v>0</v>
      </c>
      <c r="AG15" s="130">
        <f t="shared" si="43"/>
        <v>848400</v>
      </c>
      <c r="AH15" s="130">
        <f t="shared" si="44"/>
        <v>0</v>
      </c>
      <c r="AI15" s="130">
        <f t="shared" si="45"/>
        <v>0</v>
      </c>
      <c r="AJ15" s="128">
        <f t="shared" si="46"/>
        <v>0</v>
      </c>
      <c r="AK15" s="128">
        <v>0</v>
      </c>
      <c r="AL15" s="129">
        <v>0</v>
      </c>
      <c r="AM15" s="128">
        <f t="shared" si="47"/>
        <v>0</v>
      </c>
      <c r="AN15" s="129">
        <f t="shared" si="6"/>
        <v>0</v>
      </c>
      <c r="AO15" s="128">
        <f t="shared" si="48"/>
        <v>38808</v>
      </c>
      <c r="AP15" s="128">
        <f t="shared" si="7"/>
        <v>0</v>
      </c>
      <c r="AQ15" s="128">
        <f t="shared" si="8"/>
        <v>0</v>
      </c>
      <c r="AR15" s="128">
        <f t="shared" si="9"/>
        <v>0</v>
      </c>
      <c r="AS15" s="130">
        <f t="shared" si="10"/>
        <v>887208</v>
      </c>
      <c r="AT15" s="130">
        <f t="shared" si="11"/>
        <v>887208</v>
      </c>
      <c r="AU15" s="128"/>
      <c r="AV15" s="128"/>
      <c r="AW15" s="130">
        <f t="shared" si="12"/>
        <v>887208</v>
      </c>
      <c r="AX15" s="130">
        <f t="shared" si="13"/>
        <v>0</v>
      </c>
      <c r="AY15" s="130">
        <f t="shared" si="14"/>
        <v>823600</v>
      </c>
      <c r="AZ15" s="130">
        <f t="shared" si="15"/>
        <v>0</v>
      </c>
      <c r="BA15" s="130">
        <f t="shared" si="16"/>
        <v>0</v>
      </c>
      <c r="BB15" s="128">
        <f t="shared" si="17"/>
        <v>0</v>
      </c>
      <c r="BC15" s="128">
        <f t="shared" si="18"/>
        <v>0</v>
      </c>
      <c r="BD15" s="129">
        <v>0</v>
      </c>
      <c r="BE15" s="128">
        <f t="shared" si="19"/>
        <v>0</v>
      </c>
      <c r="BF15" s="129">
        <f t="shared" si="20"/>
        <v>0</v>
      </c>
      <c r="BG15" s="128">
        <f t="shared" si="49"/>
        <v>37688</v>
      </c>
      <c r="BH15" s="128">
        <f t="shared" si="21"/>
        <v>0</v>
      </c>
      <c r="BI15" s="128">
        <f t="shared" si="22"/>
        <v>0</v>
      </c>
      <c r="BJ15" s="128">
        <f t="shared" si="23"/>
        <v>0</v>
      </c>
      <c r="BK15" s="130">
        <f t="shared" si="24"/>
        <v>861288</v>
      </c>
      <c r="BL15" s="130">
        <f t="shared" si="25"/>
        <v>861288</v>
      </c>
      <c r="BM15" s="128"/>
      <c r="BN15" s="128"/>
      <c r="BO15" s="130">
        <f t="shared" si="26"/>
        <v>861288</v>
      </c>
      <c r="BP15" s="124">
        <f t="shared" si="27"/>
        <v>0</v>
      </c>
      <c r="BQ15" s="124">
        <f t="shared" si="28"/>
        <v>1</v>
      </c>
      <c r="BR15" s="124">
        <f t="shared" si="29"/>
        <v>0</v>
      </c>
      <c r="BS15" s="124">
        <f t="shared" si="30"/>
        <v>0</v>
      </c>
      <c r="BT15" s="124">
        <f t="shared" si="50"/>
        <v>0</v>
      </c>
      <c r="BU15" s="124">
        <f t="shared" si="31"/>
        <v>0</v>
      </c>
      <c r="BV15" s="110">
        <f t="shared" si="32"/>
        <v>0</v>
      </c>
      <c r="BW15" s="131">
        <f t="shared" si="51"/>
        <v>1</v>
      </c>
      <c r="BX15" s="110">
        <f t="shared" si="52"/>
        <v>0</v>
      </c>
      <c r="BY15" s="110">
        <f t="shared" si="53"/>
        <v>0</v>
      </c>
      <c r="BZ15" s="99">
        <f t="shared" si="33"/>
        <v>1</v>
      </c>
      <c r="CA15" s="132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</row>
    <row r="16" spans="1:102" s="126" customFormat="1" ht="18.75">
      <c r="A16" s="179">
        <v>2202</v>
      </c>
      <c r="B16" s="179">
        <v>5</v>
      </c>
      <c r="C16" s="180" t="str">
        <f>IF(ISNA(VLOOKUP(B16,Master!AD$59:AP$106,3,FALSE)),"",VLOOKUP(B16,Master!AD$59:AP$106,3,FALSE))</f>
        <v/>
      </c>
      <c r="D16" s="181" t="str">
        <f>IF(ISNA(VLOOKUP(B16,Master!AD$59:AP$106,7,FALSE)),"",VLOOKUP(B16,Master!AD$59:AP$106,7,FALSE))</f>
        <v/>
      </c>
      <c r="E16" s="182" t="str">
        <f>IF(ISNA(VLOOKUP(B16,Master!AD$59:AP$106,8,FALSE)),"",VLOOKUP(B16,Master!AD$59:AP$106,8,FALSE))</f>
        <v/>
      </c>
      <c r="F16" s="183" t="str">
        <f>IF(ISNA(VLOOKUP(B16,Master!AD$59:AP$106,4,FALSE)),"",VLOOKUP(B16,Master!AD$59:AP$106,4,FALSE))</f>
        <v/>
      </c>
      <c r="G16" s="184" t="str">
        <f>IF(ISNA(VLOOKUP(B16,Master!AD$59:AP$106,5,FALSE)),"",VLOOKUP(B16,Master!AD$59:AP$106,5,FALSE))</f>
        <v/>
      </c>
      <c r="H16" s="185" t="str">
        <f>IF(ISNA(VLOOKUP(B16,Master!AD$59:AP$106,6,FALSE)),"",VLOOKUP(B16,Master!AD$59:AP$106,6,FALSE))</f>
        <v/>
      </c>
      <c r="I16" s="179" t="str">
        <f t="shared" si="34"/>
        <v/>
      </c>
      <c r="J16" s="181" t="str">
        <f t="shared" ca="1" si="35"/>
        <v/>
      </c>
      <c r="K16" s="179" t="str">
        <f t="shared" si="36"/>
        <v/>
      </c>
      <c r="L16" s="179" t="str">
        <f t="shared" si="37"/>
        <v/>
      </c>
      <c r="M16" s="179" t="str">
        <f t="shared" si="38"/>
        <v/>
      </c>
      <c r="N16" s="268" t="str">
        <f>IF(ISNA(VLOOKUP(B16,Master!AD$59:AP$106,12,FALSE)),"",VLOOKUP(B16,Master!AD$59:AP$106,12,FALSE))</f>
        <v/>
      </c>
      <c r="O16" s="262"/>
      <c r="P16" s="262"/>
      <c r="Q16" s="262"/>
      <c r="R16" s="262">
        <f t="shared" si="39"/>
        <v>0</v>
      </c>
      <c r="S16" s="102">
        <f t="shared" si="40"/>
        <v>1</v>
      </c>
      <c r="T16" s="1" t="str">
        <f>IF(ISNA(VLOOKUP(B16,Master!AD$59:AP$106,10,FALSE)),"",VLOOKUP(B16,Master!AD$59:AP$106,10,FALSE))</f>
        <v/>
      </c>
      <c r="U16" s="127"/>
      <c r="V16" s="127"/>
      <c r="W16" s="128" t="str">
        <f>IF(ISNA(VLOOKUP(B16,Master!AD$59:AP$106,11,FALSE)),"",VLOOKUP(B16,Master!AD$59:AP$106,11,FALSE))</f>
        <v/>
      </c>
      <c r="X16" s="128" t="str">
        <f>IF(ISNA(VLOOKUP(B16,Master!AD$59:AP$106,9,FALSE)),"",VLOOKUP(B16,Master!AD$59:AP$106,9,FALSE))</f>
        <v/>
      </c>
      <c r="Y16" s="129">
        <f t="shared" si="0"/>
        <v>0</v>
      </c>
      <c r="Z16" s="129">
        <f t="shared" si="1"/>
        <v>0</v>
      </c>
      <c r="AA16" s="129">
        <f t="shared" si="2"/>
        <v>0</v>
      </c>
      <c r="AB16" s="129">
        <f t="shared" si="3"/>
        <v>0</v>
      </c>
      <c r="AC16" s="129">
        <f t="shared" si="4"/>
        <v>0</v>
      </c>
      <c r="AD16" s="129">
        <f t="shared" si="5"/>
        <v>0</v>
      </c>
      <c r="AE16" s="130" t="str">
        <f t="shared" si="41"/>
        <v/>
      </c>
      <c r="AF16" s="130" t="str">
        <f t="shared" si="42"/>
        <v/>
      </c>
      <c r="AG16" s="130" t="str">
        <f t="shared" si="43"/>
        <v/>
      </c>
      <c r="AH16" s="130" t="str">
        <f t="shared" si="44"/>
        <v/>
      </c>
      <c r="AI16" s="130" t="str">
        <f t="shared" si="45"/>
        <v/>
      </c>
      <c r="AJ16" s="128" t="str">
        <f t="shared" si="46"/>
        <v/>
      </c>
      <c r="AK16" s="128">
        <v>0</v>
      </c>
      <c r="AL16" s="129">
        <v>0</v>
      </c>
      <c r="AM16" s="128" t="str">
        <f t="shared" si="47"/>
        <v/>
      </c>
      <c r="AN16" s="129">
        <f t="shared" si="6"/>
        <v>0</v>
      </c>
      <c r="AO16" s="128">
        <f t="shared" si="48"/>
        <v>0</v>
      </c>
      <c r="AP16" s="128">
        <f t="shared" si="7"/>
        <v>0</v>
      </c>
      <c r="AQ16" s="128">
        <f t="shared" si="8"/>
        <v>0</v>
      </c>
      <c r="AR16" s="128">
        <f t="shared" si="9"/>
        <v>0</v>
      </c>
      <c r="AS16" s="130">
        <f t="shared" si="10"/>
        <v>0</v>
      </c>
      <c r="AT16" s="130">
        <f t="shared" si="11"/>
        <v>0</v>
      </c>
      <c r="AU16" s="128"/>
      <c r="AV16" s="128"/>
      <c r="AW16" s="130">
        <f t="shared" si="12"/>
        <v>0</v>
      </c>
      <c r="AX16" s="130">
        <f t="shared" si="13"/>
        <v>0</v>
      </c>
      <c r="AY16" s="130">
        <f t="shared" si="14"/>
        <v>0</v>
      </c>
      <c r="AZ16" s="130">
        <f t="shared" si="15"/>
        <v>0</v>
      </c>
      <c r="BA16" s="130">
        <f t="shared" si="16"/>
        <v>0</v>
      </c>
      <c r="BB16" s="128">
        <f t="shared" si="17"/>
        <v>0</v>
      </c>
      <c r="BC16" s="128">
        <f t="shared" si="18"/>
        <v>0</v>
      </c>
      <c r="BD16" s="129">
        <v>0</v>
      </c>
      <c r="BE16" s="128">
        <f t="shared" si="19"/>
        <v>0</v>
      </c>
      <c r="BF16" s="129">
        <f t="shared" si="20"/>
        <v>0</v>
      </c>
      <c r="BG16" s="128">
        <f t="shared" si="49"/>
        <v>0</v>
      </c>
      <c r="BH16" s="128">
        <f t="shared" si="21"/>
        <v>0</v>
      </c>
      <c r="BI16" s="128">
        <f t="shared" si="22"/>
        <v>0</v>
      </c>
      <c r="BJ16" s="128">
        <f t="shared" si="23"/>
        <v>0</v>
      </c>
      <c r="BK16" s="130">
        <f t="shared" si="24"/>
        <v>0</v>
      </c>
      <c r="BL16" s="130">
        <f t="shared" si="25"/>
        <v>0</v>
      </c>
      <c r="BM16" s="128"/>
      <c r="BN16" s="128"/>
      <c r="BO16" s="130">
        <f t="shared" si="26"/>
        <v>0</v>
      </c>
      <c r="BP16" s="124">
        <f t="shared" si="27"/>
        <v>0</v>
      </c>
      <c r="BQ16" s="124">
        <f t="shared" si="28"/>
        <v>1</v>
      </c>
      <c r="BR16" s="124">
        <f t="shared" si="29"/>
        <v>0</v>
      </c>
      <c r="BS16" s="124">
        <f t="shared" si="30"/>
        <v>0</v>
      </c>
      <c r="BT16" s="124">
        <f t="shared" si="50"/>
        <v>0</v>
      </c>
      <c r="BU16" s="124">
        <f t="shared" si="31"/>
        <v>1</v>
      </c>
      <c r="BV16" s="110">
        <f t="shared" si="32"/>
        <v>0</v>
      </c>
      <c r="BW16" s="131">
        <f t="shared" si="51"/>
        <v>1</v>
      </c>
      <c r="BX16" s="110">
        <f t="shared" si="52"/>
        <v>0</v>
      </c>
      <c r="BY16" s="110">
        <f t="shared" si="53"/>
        <v>0</v>
      </c>
      <c r="BZ16" s="99" t="str">
        <f t="shared" si="33"/>
        <v/>
      </c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</row>
    <row r="17" spans="1:104" s="126" customFormat="1" ht="18.75">
      <c r="A17" s="179">
        <v>2202</v>
      </c>
      <c r="B17" s="179">
        <v>6</v>
      </c>
      <c r="C17" s="180" t="str">
        <f>IF(ISNA(VLOOKUP(B17,Master!AD$59:AP$106,3,FALSE)),"",VLOOKUP(B17,Master!AD$59:AP$106,3,FALSE))</f>
        <v/>
      </c>
      <c r="D17" s="181" t="str">
        <f>IF(ISNA(VLOOKUP(B17,Master!AD$59:AP$106,7,FALSE)),"",VLOOKUP(B17,Master!AD$59:AP$106,7,FALSE))</f>
        <v/>
      </c>
      <c r="E17" s="182" t="str">
        <f>IF(ISNA(VLOOKUP(B17,Master!AD$59:AP$106,8,FALSE)),"",VLOOKUP(B17,Master!AD$59:AP$106,8,FALSE))</f>
        <v/>
      </c>
      <c r="F17" s="183" t="str">
        <f>IF(ISNA(VLOOKUP(B17,Master!AD$59:AP$106,4,FALSE)),"",VLOOKUP(B17,Master!AD$59:AP$106,4,FALSE))</f>
        <v/>
      </c>
      <c r="G17" s="184" t="str">
        <f>IF(ISNA(VLOOKUP(B17,Master!AD$59:AP$106,5,FALSE)),"",VLOOKUP(B17,Master!AD$59:AP$106,5,FALSE))</f>
        <v/>
      </c>
      <c r="H17" s="185" t="str">
        <f>IF(ISNA(VLOOKUP(B17,Master!AD$59:AP$106,6,FALSE)),"",VLOOKUP(B17,Master!AD$59:AP$106,6,FALSE))</f>
        <v/>
      </c>
      <c r="I17" s="179" t="str">
        <f t="shared" si="34"/>
        <v/>
      </c>
      <c r="J17" s="181" t="str">
        <f t="shared" ca="1" si="35"/>
        <v/>
      </c>
      <c r="K17" s="179" t="str">
        <f t="shared" si="36"/>
        <v/>
      </c>
      <c r="L17" s="179" t="str">
        <f t="shared" si="37"/>
        <v/>
      </c>
      <c r="M17" s="179" t="str">
        <f t="shared" si="38"/>
        <v/>
      </c>
      <c r="N17" s="268" t="str">
        <f>IF(ISNA(VLOOKUP(B17,Master!AD$59:AP$106,12,FALSE)),"",VLOOKUP(B17,Master!AD$59:AP$106,12,FALSE))</f>
        <v/>
      </c>
      <c r="O17" s="262"/>
      <c r="P17" s="262"/>
      <c r="Q17" s="262"/>
      <c r="R17" s="262">
        <f t="shared" si="39"/>
        <v>0</v>
      </c>
      <c r="S17" s="102">
        <f t="shared" si="40"/>
        <v>1</v>
      </c>
      <c r="T17" s="1" t="str">
        <f>IF(ISNA(VLOOKUP(B17,Master!AD$59:AP$106,10,FALSE)),"",VLOOKUP(B17,Master!AD$59:AP$106,10,FALSE))</f>
        <v/>
      </c>
      <c r="U17" s="127"/>
      <c r="V17" s="127"/>
      <c r="W17" s="128" t="str">
        <f>IF(ISNA(VLOOKUP(B17,Master!AD$59:AP$106,11,FALSE)),"",VLOOKUP(B17,Master!AD$59:AP$106,11,FALSE))</f>
        <v/>
      </c>
      <c r="X17" s="128" t="str">
        <f>IF(ISNA(VLOOKUP(B17,Master!AD$59:AP$106,9,FALSE)),"",VLOOKUP(B17,Master!AD$59:AP$106,9,FALSE))</f>
        <v/>
      </c>
      <c r="Y17" s="129">
        <f t="shared" si="0"/>
        <v>0</v>
      </c>
      <c r="Z17" s="129">
        <f t="shared" si="1"/>
        <v>0</v>
      </c>
      <c r="AA17" s="129">
        <f t="shared" si="2"/>
        <v>0</v>
      </c>
      <c r="AB17" s="129">
        <f t="shared" si="3"/>
        <v>0</v>
      </c>
      <c r="AC17" s="129">
        <f t="shared" si="4"/>
        <v>0</v>
      </c>
      <c r="AD17" s="129">
        <f t="shared" si="5"/>
        <v>0</v>
      </c>
      <c r="AE17" s="130" t="str">
        <f t="shared" si="41"/>
        <v/>
      </c>
      <c r="AF17" s="130" t="str">
        <f t="shared" si="42"/>
        <v/>
      </c>
      <c r="AG17" s="130" t="str">
        <f t="shared" si="43"/>
        <v/>
      </c>
      <c r="AH17" s="130" t="str">
        <f t="shared" si="44"/>
        <v/>
      </c>
      <c r="AI17" s="130" t="str">
        <f t="shared" si="45"/>
        <v/>
      </c>
      <c r="AJ17" s="128" t="str">
        <f t="shared" si="46"/>
        <v/>
      </c>
      <c r="AK17" s="128">
        <v>0</v>
      </c>
      <c r="AL17" s="129">
        <v>0</v>
      </c>
      <c r="AM17" s="128" t="str">
        <f t="shared" si="47"/>
        <v/>
      </c>
      <c r="AN17" s="129">
        <f t="shared" si="6"/>
        <v>0</v>
      </c>
      <c r="AO17" s="128">
        <f t="shared" si="48"/>
        <v>0</v>
      </c>
      <c r="AP17" s="128">
        <f t="shared" si="7"/>
        <v>0</v>
      </c>
      <c r="AQ17" s="128">
        <f t="shared" si="8"/>
        <v>0</v>
      </c>
      <c r="AR17" s="128">
        <f t="shared" si="9"/>
        <v>0</v>
      </c>
      <c r="AS17" s="130">
        <f t="shared" si="10"/>
        <v>0</v>
      </c>
      <c r="AT17" s="130">
        <f t="shared" si="11"/>
        <v>0</v>
      </c>
      <c r="AU17" s="128"/>
      <c r="AV17" s="128"/>
      <c r="AW17" s="130">
        <f t="shared" si="12"/>
        <v>0</v>
      </c>
      <c r="AX17" s="130">
        <f t="shared" si="13"/>
        <v>0</v>
      </c>
      <c r="AY17" s="130">
        <f t="shared" si="14"/>
        <v>0</v>
      </c>
      <c r="AZ17" s="130">
        <f t="shared" si="15"/>
        <v>0</v>
      </c>
      <c r="BA17" s="130">
        <f t="shared" si="16"/>
        <v>0</v>
      </c>
      <c r="BB17" s="128">
        <f t="shared" si="17"/>
        <v>0</v>
      </c>
      <c r="BC17" s="128">
        <f t="shared" si="18"/>
        <v>0</v>
      </c>
      <c r="BD17" s="129">
        <v>0</v>
      </c>
      <c r="BE17" s="128">
        <f t="shared" si="19"/>
        <v>0</v>
      </c>
      <c r="BF17" s="129">
        <f t="shared" si="20"/>
        <v>0</v>
      </c>
      <c r="BG17" s="128">
        <f t="shared" si="49"/>
        <v>0</v>
      </c>
      <c r="BH17" s="128">
        <f t="shared" si="21"/>
        <v>0</v>
      </c>
      <c r="BI17" s="128">
        <f t="shared" si="22"/>
        <v>0</v>
      </c>
      <c r="BJ17" s="128">
        <f t="shared" si="23"/>
        <v>0</v>
      </c>
      <c r="BK17" s="130">
        <f t="shared" si="24"/>
        <v>0</v>
      </c>
      <c r="BL17" s="130">
        <f t="shared" si="25"/>
        <v>0</v>
      </c>
      <c r="BM17" s="128"/>
      <c r="BN17" s="128"/>
      <c r="BO17" s="130">
        <f t="shared" si="26"/>
        <v>0</v>
      </c>
      <c r="BP17" s="124">
        <f t="shared" si="27"/>
        <v>0</v>
      </c>
      <c r="BQ17" s="124">
        <f t="shared" si="28"/>
        <v>1</v>
      </c>
      <c r="BR17" s="124">
        <f t="shared" si="29"/>
        <v>0</v>
      </c>
      <c r="BS17" s="124">
        <f t="shared" si="30"/>
        <v>0</v>
      </c>
      <c r="BT17" s="124">
        <f t="shared" si="50"/>
        <v>0</v>
      </c>
      <c r="BU17" s="124">
        <f t="shared" si="31"/>
        <v>1</v>
      </c>
      <c r="BV17" s="110">
        <f t="shared" si="32"/>
        <v>0</v>
      </c>
      <c r="BW17" s="131">
        <f t="shared" si="51"/>
        <v>1</v>
      </c>
      <c r="BX17" s="110">
        <f t="shared" si="52"/>
        <v>0</v>
      </c>
      <c r="BY17" s="110">
        <f t="shared" si="53"/>
        <v>0</v>
      </c>
      <c r="BZ17" s="99" t="str">
        <f t="shared" si="33"/>
        <v/>
      </c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</row>
    <row r="18" spans="1:104" s="126" customFormat="1" ht="18.75">
      <c r="A18" s="179">
        <v>2202</v>
      </c>
      <c r="B18" s="179">
        <v>7</v>
      </c>
      <c r="C18" s="180" t="str">
        <f>IF(ISNA(VLOOKUP(B18,Master!AD$59:AP$106,3,FALSE)),"",VLOOKUP(B18,Master!AD$59:AP$106,3,FALSE))</f>
        <v/>
      </c>
      <c r="D18" s="181" t="str">
        <f>IF(ISNA(VLOOKUP(B18,Master!AD$59:AP$106,7,FALSE)),"",VLOOKUP(B18,Master!AD$59:AP$106,7,FALSE))</f>
        <v/>
      </c>
      <c r="E18" s="182" t="str">
        <f>IF(ISNA(VLOOKUP(B18,Master!AD$59:AP$106,8,FALSE)),"",VLOOKUP(B18,Master!AD$59:AP$106,8,FALSE))</f>
        <v/>
      </c>
      <c r="F18" s="183" t="str">
        <f>IF(ISNA(VLOOKUP(B18,Master!AD$59:AP$106,4,FALSE)),"",VLOOKUP(B18,Master!AD$59:AP$106,4,FALSE))</f>
        <v/>
      </c>
      <c r="G18" s="184" t="str">
        <f>IF(ISNA(VLOOKUP(B18,Master!AD$59:AP$106,5,FALSE)),"",VLOOKUP(B18,Master!AD$59:AP$106,5,FALSE))</f>
        <v/>
      </c>
      <c r="H18" s="185" t="str">
        <f>IF(ISNA(VLOOKUP(B18,Master!AD$59:AP$106,6,FALSE)),"",VLOOKUP(B18,Master!AD$59:AP$106,6,FALSE))</f>
        <v/>
      </c>
      <c r="I18" s="179" t="str">
        <f t="shared" si="34"/>
        <v/>
      </c>
      <c r="J18" s="181" t="str">
        <f t="shared" ca="1" si="35"/>
        <v/>
      </c>
      <c r="K18" s="179" t="str">
        <f t="shared" si="36"/>
        <v/>
      </c>
      <c r="L18" s="179" t="str">
        <f t="shared" si="37"/>
        <v/>
      </c>
      <c r="M18" s="179" t="str">
        <f t="shared" si="38"/>
        <v/>
      </c>
      <c r="N18" s="268" t="str">
        <f>IF(ISNA(VLOOKUP(B18,Master!AD$59:AP$106,12,FALSE)),"",VLOOKUP(B18,Master!AD$59:AP$106,12,FALSE))</f>
        <v/>
      </c>
      <c r="O18" s="262"/>
      <c r="P18" s="262"/>
      <c r="Q18" s="262"/>
      <c r="R18" s="262">
        <f t="shared" si="39"/>
        <v>0</v>
      </c>
      <c r="S18" s="102">
        <f t="shared" si="40"/>
        <v>1</v>
      </c>
      <c r="T18" s="1" t="str">
        <f>IF(ISNA(VLOOKUP(B18,Master!AD$59:AP$106,10,FALSE)),"",VLOOKUP(B18,Master!AD$59:AP$106,10,FALSE))</f>
        <v/>
      </c>
      <c r="U18" s="127"/>
      <c r="V18" s="127"/>
      <c r="W18" s="128" t="str">
        <f>IF(ISNA(VLOOKUP(B18,Master!AD$59:AP$106,11,FALSE)),"",VLOOKUP(B18,Master!AD$59:AP$106,11,FALSE))</f>
        <v/>
      </c>
      <c r="X18" s="128" t="str">
        <f>IF(ISNA(VLOOKUP(B18,Master!AD$59:AP$106,9,FALSE)),"",VLOOKUP(B18,Master!AD$59:AP$106,9,FALSE))</f>
        <v/>
      </c>
      <c r="Y18" s="129">
        <f t="shared" si="0"/>
        <v>0</v>
      </c>
      <c r="Z18" s="129">
        <f t="shared" si="1"/>
        <v>0</v>
      </c>
      <c r="AA18" s="129">
        <f t="shared" si="2"/>
        <v>0</v>
      </c>
      <c r="AB18" s="129">
        <f t="shared" si="3"/>
        <v>0</v>
      </c>
      <c r="AC18" s="129">
        <f t="shared" si="4"/>
        <v>0</v>
      </c>
      <c r="AD18" s="129">
        <f t="shared" si="5"/>
        <v>0</v>
      </c>
      <c r="AE18" s="130" t="str">
        <f t="shared" si="41"/>
        <v/>
      </c>
      <c r="AF18" s="130" t="str">
        <f t="shared" si="42"/>
        <v/>
      </c>
      <c r="AG18" s="130" t="str">
        <f t="shared" si="43"/>
        <v/>
      </c>
      <c r="AH18" s="130" t="str">
        <f t="shared" si="44"/>
        <v/>
      </c>
      <c r="AI18" s="130" t="str">
        <f t="shared" si="45"/>
        <v/>
      </c>
      <c r="AJ18" s="128" t="str">
        <f t="shared" si="46"/>
        <v/>
      </c>
      <c r="AK18" s="128">
        <v>0</v>
      </c>
      <c r="AL18" s="129">
        <v>0</v>
      </c>
      <c r="AM18" s="128" t="str">
        <f t="shared" si="47"/>
        <v/>
      </c>
      <c r="AN18" s="129">
        <f t="shared" si="6"/>
        <v>0</v>
      </c>
      <c r="AO18" s="128">
        <f t="shared" si="48"/>
        <v>0</v>
      </c>
      <c r="AP18" s="128">
        <f t="shared" si="7"/>
        <v>0</v>
      </c>
      <c r="AQ18" s="128">
        <f t="shared" si="8"/>
        <v>0</v>
      </c>
      <c r="AR18" s="128">
        <f t="shared" si="9"/>
        <v>0</v>
      </c>
      <c r="AS18" s="130">
        <f t="shared" si="10"/>
        <v>0</v>
      </c>
      <c r="AT18" s="130">
        <f t="shared" si="11"/>
        <v>0</v>
      </c>
      <c r="AU18" s="128"/>
      <c r="AV18" s="128"/>
      <c r="AW18" s="130">
        <f t="shared" si="12"/>
        <v>0</v>
      </c>
      <c r="AX18" s="130">
        <f t="shared" si="13"/>
        <v>0</v>
      </c>
      <c r="AY18" s="130">
        <f t="shared" si="14"/>
        <v>0</v>
      </c>
      <c r="AZ18" s="130">
        <f t="shared" si="15"/>
        <v>0</v>
      </c>
      <c r="BA18" s="130">
        <f t="shared" si="16"/>
        <v>0</v>
      </c>
      <c r="BB18" s="128">
        <f t="shared" si="17"/>
        <v>0</v>
      </c>
      <c r="BC18" s="128">
        <f t="shared" si="18"/>
        <v>0</v>
      </c>
      <c r="BD18" s="129">
        <v>0</v>
      </c>
      <c r="BE18" s="128">
        <f t="shared" si="19"/>
        <v>0</v>
      </c>
      <c r="BF18" s="129">
        <f t="shared" si="20"/>
        <v>0</v>
      </c>
      <c r="BG18" s="128">
        <f t="shared" si="49"/>
        <v>0</v>
      </c>
      <c r="BH18" s="128">
        <f t="shared" si="21"/>
        <v>0</v>
      </c>
      <c r="BI18" s="128">
        <f t="shared" si="22"/>
        <v>0</v>
      </c>
      <c r="BJ18" s="128">
        <f t="shared" si="23"/>
        <v>0</v>
      </c>
      <c r="BK18" s="130">
        <f t="shared" si="24"/>
        <v>0</v>
      </c>
      <c r="BL18" s="130">
        <f t="shared" si="25"/>
        <v>0</v>
      </c>
      <c r="BM18" s="128"/>
      <c r="BN18" s="128"/>
      <c r="BO18" s="130">
        <f t="shared" si="26"/>
        <v>0</v>
      </c>
      <c r="BP18" s="124">
        <f t="shared" si="27"/>
        <v>0</v>
      </c>
      <c r="BQ18" s="124">
        <f t="shared" si="28"/>
        <v>1</v>
      </c>
      <c r="BR18" s="124">
        <f t="shared" si="29"/>
        <v>0</v>
      </c>
      <c r="BS18" s="124">
        <f t="shared" si="30"/>
        <v>0</v>
      </c>
      <c r="BT18" s="124">
        <f t="shared" si="50"/>
        <v>0</v>
      </c>
      <c r="BU18" s="124">
        <f t="shared" si="31"/>
        <v>1</v>
      </c>
      <c r="BV18" s="110">
        <f t="shared" si="32"/>
        <v>0</v>
      </c>
      <c r="BW18" s="131">
        <f t="shared" si="51"/>
        <v>1</v>
      </c>
      <c r="BX18" s="110">
        <f t="shared" si="52"/>
        <v>0</v>
      </c>
      <c r="BY18" s="110">
        <f t="shared" si="53"/>
        <v>0</v>
      </c>
      <c r="BZ18" s="99" t="str">
        <f t="shared" si="33"/>
        <v/>
      </c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</row>
    <row r="19" spans="1:104" s="126" customFormat="1" ht="18.75">
      <c r="A19" s="179">
        <v>2202</v>
      </c>
      <c r="B19" s="179">
        <v>8</v>
      </c>
      <c r="C19" s="180" t="str">
        <f>IF(ISNA(VLOOKUP(B19,Master!AD$59:AP$106,3,FALSE)),"",VLOOKUP(B19,Master!AD$59:AP$106,3,FALSE))</f>
        <v/>
      </c>
      <c r="D19" s="181" t="str">
        <f>IF(ISNA(VLOOKUP(B19,Master!AD$59:AP$106,7,FALSE)),"",VLOOKUP(B19,Master!AD$59:AP$106,7,FALSE))</f>
        <v/>
      </c>
      <c r="E19" s="182" t="str">
        <f>IF(ISNA(VLOOKUP(B19,Master!AD$59:AP$106,8,FALSE)),"",VLOOKUP(B19,Master!AD$59:AP$106,8,FALSE))</f>
        <v/>
      </c>
      <c r="F19" s="183" t="str">
        <f>IF(ISNA(VLOOKUP(B19,Master!AD$59:AP$106,4,FALSE)),"",VLOOKUP(B19,Master!AD$59:AP$106,4,FALSE))</f>
        <v/>
      </c>
      <c r="G19" s="184" t="str">
        <f>IF(ISNA(VLOOKUP(B19,Master!AD$59:AP$106,5,FALSE)),"",VLOOKUP(B19,Master!AD$59:AP$106,5,FALSE))</f>
        <v/>
      </c>
      <c r="H19" s="185" t="str">
        <f>IF(ISNA(VLOOKUP(B19,Master!AD$59:AP$106,6,FALSE)),"",VLOOKUP(B19,Master!AD$59:AP$106,6,FALSE))</f>
        <v/>
      </c>
      <c r="I19" s="179" t="str">
        <f t="shared" si="34"/>
        <v/>
      </c>
      <c r="J19" s="181" t="str">
        <f t="shared" ca="1" si="35"/>
        <v/>
      </c>
      <c r="K19" s="179" t="str">
        <f t="shared" si="36"/>
        <v/>
      </c>
      <c r="L19" s="179" t="str">
        <f t="shared" si="37"/>
        <v/>
      </c>
      <c r="M19" s="179" t="str">
        <f t="shared" si="38"/>
        <v/>
      </c>
      <c r="N19" s="268" t="str">
        <f>IF(ISNA(VLOOKUP(B19,Master!AD$59:AP$106,12,FALSE)),"",VLOOKUP(B19,Master!AD$59:AP$106,12,FALSE))</f>
        <v/>
      </c>
      <c r="O19" s="262"/>
      <c r="P19" s="262"/>
      <c r="Q19" s="262"/>
      <c r="R19" s="262">
        <f t="shared" si="39"/>
        <v>0</v>
      </c>
      <c r="S19" s="102">
        <f t="shared" si="40"/>
        <v>1</v>
      </c>
      <c r="T19" s="1" t="str">
        <f>IF(ISNA(VLOOKUP(B19,Master!AD$59:AP$106,10,FALSE)),"",VLOOKUP(B19,Master!AD$59:AP$106,10,FALSE))</f>
        <v/>
      </c>
      <c r="U19" s="127"/>
      <c r="V19" s="127"/>
      <c r="W19" s="128" t="str">
        <f>IF(ISNA(VLOOKUP(B19,Master!AD$59:AP$106,11,FALSE)),"",VLOOKUP(B19,Master!AD$59:AP$106,11,FALSE))</f>
        <v/>
      </c>
      <c r="X19" s="128" t="str">
        <f>IF(ISNA(VLOOKUP(B19,Master!AD$59:AP$106,9,FALSE)),"",VLOOKUP(B19,Master!AD$59:AP$106,9,FALSE))</f>
        <v/>
      </c>
      <c r="Y19" s="129">
        <f t="shared" si="0"/>
        <v>0</v>
      </c>
      <c r="Z19" s="129">
        <f t="shared" si="1"/>
        <v>0</v>
      </c>
      <c r="AA19" s="129">
        <f t="shared" si="2"/>
        <v>0</v>
      </c>
      <c r="AB19" s="129">
        <f t="shared" si="3"/>
        <v>0</v>
      </c>
      <c r="AC19" s="129">
        <f t="shared" si="4"/>
        <v>0</v>
      </c>
      <c r="AD19" s="129">
        <f t="shared" si="5"/>
        <v>0</v>
      </c>
      <c r="AE19" s="130" t="str">
        <f t="shared" si="41"/>
        <v/>
      </c>
      <c r="AF19" s="130" t="str">
        <f t="shared" si="42"/>
        <v/>
      </c>
      <c r="AG19" s="130" t="str">
        <f t="shared" si="43"/>
        <v/>
      </c>
      <c r="AH19" s="130" t="str">
        <f t="shared" si="44"/>
        <v/>
      </c>
      <c r="AI19" s="130" t="str">
        <f t="shared" si="45"/>
        <v/>
      </c>
      <c r="AJ19" s="128" t="str">
        <f t="shared" si="46"/>
        <v/>
      </c>
      <c r="AK19" s="128">
        <v>0</v>
      </c>
      <c r="AL19" s="129">
        <v>0</v>
      </c>
      <c r="AM19" s="128" t="str">
        <f t="shared" si="47"/>
        <v/>
      </c>
      <c r="AN19" s="129">
        <f t="shared" si="6"/>
        <v>0</v>
      </c>
      <c r="AO19" s="128">
        <f t="shared" si="48"/>
        <v>0</v>
      </c>
      <c r="AP19" s="128">
        <f t="shared" si="7"/>
        <v>0</v>
      </c>
      <c r="AQ19" s="128">
        <f t="shared" si="8"/>
        <v>0</v>
      </c>
      <c r="AR19" s="128">
        <f t="shared" si="9"/>
        <v>0</v>
      </c>
      <c r="AS19" s="130">
        <f t="shared" si="10"/>
        <v>0</v>
      </c>
      <c r="AT19" s="130">
        <f t="shared" si="11"/>
        <v>0</v>
      </c>
      <c r="AU19" s="128"/>
      <c r="AV19" s="128"/>
      <c r="AW19" s="130">
        <f t="shared" si="12"/>
        <v>0</v>
      </c>
      <c r="AX19" s="130">
        <f t="shared" si="13"/>
        <v>0</v>
      </c>
      <c r="AY19" s="130">
        <f t="shared" si="14"/>
        <v>0</v>
      </c>
      <c r="AZ19" s="130">
        <f t="shared" si="15"/>
        <v>0</v>
      </c>
      <c r="BA19" s="130">
        <f t="shared" si="16"/>
        <v>0</v>
      </c>
      <c r="BB19" s="128">
        <f t="shared" si="17"/>
        <v>0</v>
      </c>
      <c r="BC19" s="128">
        <f t="shared" si="18"/>
        <v>0</v>
      </c>
      <c r="BD19" s="129">
        <v>0</v>
      </c>
      <c r="BE19" s="128">
        <f t="shared" si="19"/>
        <v>0</v>
      </c>
      <c r="BF19" s="129">
        <f t="shared" si="20"/>
        <v>0</v>
      </c>
      <c r="BG19" s="128">
        <f t="shared" si="49"/>
        <v>0</v>
      </c>
      <c r="BH19" s="128">
        <f t="shared" si="21"/>
        <v>0</v>
      </c>
      <c r="BI19" s="128">
        <f t="shared" si="22"/>
        <v>0</v>
      </c>
      <c r="BJ19" s="128">
        <f t="shared" si="23"/>
        <v>0</v>
      </c>
      <c r="BK19" s="130">
        <f t="shared" si="24"/>
        <v>0</v>
      </c>
      <c r="BL19" s="130">
        <f t="shared" si="25"/>
        <v>0</v>
      </c>
      <c r="BM19" s="128"/>
      <c r="BN19" s="128"/>
      <c r="BO19" s="130">
        <f t="shared" si="26"/>
        <v>0</v>
      </c>
      <c r="BP19" s="124">
        <f t="shared" si="27"/>
        <v>0</v>
      </c>
      <c r="BQ19" s="124">
        <f t="shared" si="28"/>
        <v>1</v>
      </c>
      <c r="BR19" s="124">
        <f t="shared" si="29"/>
        <v>0</v>
      </c>
      <c r="BS19" s="124">
        <f t="shared" si="30"/>
        <v>0</v>
      </c>
      <c r="BT19" s="124">
        <f t="shared" si="50"/>
        <v>0</v>
      </c>
      <c r="BU19" s="124">
        <f t="shared" si="31"/>
        <v>1</v>
      </c>
      <c r="BV19" s="110">
        <f t="shared" si="32"/>
        <v>0</v>
      </c>
      <c r="BW19" s="131">
        <f t="shared" si="51"/>
        <v>1</v>
      </c>
      <c r="BX19" s="110">
        <f t="shared" si="52"/>
        <v>0</v>
      </c>
      <c r="BY19" s="110">
        <f t="shared" si="53"/>
        <v>0</v>
      </c>
      <c r="BZ19" s="99" t="str">
        <f t="shared" si="33"/>
        <v/>
      </c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</row>
    <row r="20" spans="1:104" s="126" customFormat="1" ht="18.75">
      <c r="A20" s="179">
        <v>2202</v>
      </c>
      <c r="B20" s="179">
        <v>9</v>
      </c>
      <c r="C20" s="180" t="str">
        <f>IF(ISNA(VLOOKUP(B20,Master!AD$59:AP$106,3,FALSE)),"",VLOOKUP(B20,Master!AD$59:AP$106,3,FALSE))</f>
        <v/>
      </c>
      <c r="D20" s="181" t="str">
        <f>IF(ISNA(VLOOKUP(B20,Master!AD$59:AP$106,7,FALSE)),"",VLOOKUP(B20,Master!AD$59:AP$106,7,FALSE))</f>
        <v/>
      </c>
      <c r="E20" s="182" t="str">
        <f>IF(ISNA(VLOOKUP(B20,Master!AD$59:AP$106,8,FALSE)),"",VLOOKUP(B20,Master!AD$59:AP$106,8,FALSE))</f>
        <v/>
      </c>
      <c r="F20" s="183" t="str">
        <f>IF(ISNA(VLOOKUP(B20,Master!AD$59:AP$106,4,FALSE)),"",VLOOKUP(B20,Master!AD$59:AP$106,4,FALSE))</f>
        <v/>
      </c>
      <c r="G20" s="184" t="str">
        <f>IF(ISNA(VLOOKUP(B20,Master!AD$59:AP$106,5,FALSE)),"",VLOOKUP(B20,Master!AD$59:AP$106,5,FALSE))</f>
        <v/>
      </c>
      <c r="H20" s="185" t="str">
        <f>IF(ISNA(VLOOKUP(B20,Master!AD$59:AP$106,6,FALSE)),"",VLOOKUP(B20,Master!AD$59:AP$106,6,FALSE))</f>
        <v/>
      </c>
      <c r="I20" s="179" t="str">
        <f t="shared" si="34"/>
        <v/>
      </c>
      <c r="J20" s="181" t="str">
        <f t="shared" ca="1" si="35"/>
        <v/>
      </c>
      <c r="K20" s="179" t="str">
        <f t="shared" si="36"/>
        <v/>
      </c>
      <c r="L20" s="179" t="str">
        <f t="shared" si="37"/>
        <v/>
      </c>
      <c r="M20" s="179" t="str">
        <f t="shared" si="38"/>
        <v/>
      </c>
      <c r="N20" s="268" t="str">
        <f>IF(ISNA(VLOOKUP(B20,Master!AD$59:AP$106,12,FALSE)),"",VLOOKUP(B20,Master!AD$59:AP$106,12,FALSE))</f>
        <v/>
      </c>
      <c r="O20" s="262"/>
      <c r="P20" s="262"/>
      <c r="Q20" s="262"/>
      <c r="R20" s="262">
        <f t="shared" si="39"/>
        <v>0</v>
      </c>
      <c r="S20" s="102">
        <f t="shared" si="40"/>
        <v>1</v>
      </c>
      <c r="T20" s="1" t="str">
        <f>IF(ISNA(VLOOKUP(B20,Master!AD$59:AP$106,10,FALSE)),"",VLOOKUP(B20,Master!AD$59:AP$106,10,FALSE))</f>
        <v/>
      </c>
      <c r="U20" s="127"/>
      <c r="V20" s="127"/>
      <c r="W20" s="128" t="str">
        <f>IF(ISNA(VLOOKUP(B20,Master!AD$59:AP$106,11,FALSE)),"",VLOOKUP(B20,Master!AD$59:AP$106,11,FALSE))</f>
        <v/>
      </c>
      <c r="X20" s="128" t="str">
        <f>IF(ISNA(VLOOKUP(B20,Master!AD$59:AP$106,9,FALSE)),"",VLOOKUP(B20,Master!AD$59:AP$106,9,FALSE))</f>
        <v/>
      </c>
      <c r="Y20" s="129">
        <f t="shared" si="0"/>
        <v>0</v>
      </c>
      <c r="Z20" s="129">
        <f t="shared" si="1"/>
        <v>0</v>
      </c>
      <c r="AA20" s="129">
        <f t="shared" si="2"/>
        <v>0</v>
      </c>
      <c r="AB20" s="129">
        <f t="shared" si="3"/>
        <v>0</v>
      </c>
      <c r="AC20" s="129">
        <f t="shared" si="4"/>
        <v>0</v>
      </c>
      <c r="AD20" s="129">
        <f t="shared" si="5"/>
        <v>0</v>
      </c>
      <c r="AE20" s="130" t="str">
        <f t="shared" si="41"/>
        <v/>
      </c>
      <c r="AF20" s="130" t="str">
        <f t="shared" si="42"/>
        <v/>
      </c>
      <c r="AG20" s="130" t="str">
        <f t="shared" si="43"/>
        <v/>
      </c>
      <c r="AH20" s="130" t="str">
        <f t="shared" si="44"/>
        <v/>
      </c>
      <c r="AI20" s="130" t="str">
        <f t="shared" si="45"/>
        <v/>
      </c>
      <c r="AJ20" s="128" t="str">
        <f t="shared" si="46"/>
        <v/>
      </c>
      <c r="AK20" s="128">
        <v>0</v>
      </c>
      <c r="AL20" s="129">
        <v>0</v>
      </c>
      <c r="AM20" s="128" t="str">
        <f t="shared" si="47"/>
        <v/>
      </c>
      <c r="AN20" s="129">
        <f t="shared" si="6"/>
        <v>0</v>
      </c>
      <c r="AO20" s="128">
        <f t="shared" si="48"/>
        <v>0</v>
      </c>
      <c r="AP20" s="128">
        <f t="shared" si="7"/>
        <v>0</v>
      </c>
      <c r="AQ20" s="128">
        <f t="shared" si="8"/>
        <v>0</v>
      </c>
      <c r="AR20" s="128">
        <f t="shared" si="9"/>
        <v>0</v>
      </c>
      <c r="AS20" s="130">
        <f t="shared" si="10"/>
        <v>0</v>
      </c>
      <c r="AT20" s="130">
        <f t="shared" si="11"/>
        <v>0</v>
      </c>
      <c r="AU20" s="128"/>
      <c r="AV20" s="128"/>
      <c r="AW20" s="130">
        <f t="shared" si="12"/>
        <v>0</v>
      </c>
      <c r="AX20" s="130">
        <f t="shared" si="13"/>
        <v>0</v>
      </c>
      <c r="AY20" s="130">
        <f t="shared" si="14"/>
        <v>0</v>
      </c>
      <c r="AZ20" s="130">
        <f t="shared" si="15"/>
        <v>0</v>
      </c>
      <c r="BA20" s="130">
        <f t="shared" si="16"/>
        <v>0</v>
      </c>
      <c r="BB20" s="128">
        <f t="shared" si="17"/>
        <v>0</v>
      </c>
      <c r="BC20" s="128">
        <f t="shared" si="18"/>
        <v>0</v>
      </c>
      <c r="BD20" s="129">
        <v>0</v>
      </c>
      <c r="BE20" s="128">
        <f t="shared" si="19"/>
        <v>0</v>
      </c>
      <c r="BF20" s="129">
        <f t="shared" si="20"/>
        <v>0</v>
      </c>
      <c r="BG20" s="128">
        <f t="shared" si="49"/>
        <v>0</v>
      </c>
      <c r="BH20" s="128">
        <f t="shared" si="21"/>
        <v>0</v>
      </c>
      <c r="BI20" s="128">
        <f t="shared" si="22"/>
        <v>0</v>
      </c>
      <c r="BJ20" s="128">
        <f t="shared" si="23"/>
        <v>0</v>
      </c>
      <c r="BK20" s="130">
        <f t="shared" si="24"/>
        <v>0</v>
      </c>
      <c r="BL20" s="130">
        <f t="shared" si="25"/>
        <v>0</v>
      </c>
      <c r="BM20" s="128"/>
      <c r="BN20" s="128"/>
      <c r="BO20" s="130">
        <f t="shared" si="26"/>
        <v>0</v>
      </c>
      <c r="BP20" s="124">
        <f t="shared" si="27"/>
        <v>0</v>
      </c>
      <c r="BQ20" s="124">
        <f t="shared" si="28"/>
        <v>1</v>
      </c>
      <c r="BR20" s="124">
        <f t="shared" si="29"/>
        <v>0</v>
      </c>
      <c r="BS20" s="124">
        <f t="shared" si="30"/>
        <v>0</v>
      </c>
      <c r="BT20" s="124">
        <f t="shared" si="50"/>
        <v>0</v>
      </c>
      <c r="BU20" s="124">
        <f t="shared" si="31"/>
        <v>1</v>
      </c>
      <c r="BV20" s="110">
        <f t="shared" si="32"/>
        <v>0</v>
      </c>
      <c r="BW20" s="131">
        <f t="shared" si="51"/>
        <v>1</v>
      </c>
      <c r="BX20" s="110">
        <f t="shared" si="52"/>
        <v>0</v>
      </c>
      <c r="BY20" s="110">
        <f t="shared" si="53"/>
        <v>0</v>
      </c>
      <c r="BZ20" s="99" t="str">
        <f t="shared" si="33"/>
        <v/>
      </c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</row>
    <row r="21" spans="1:104" s="126" customFormat="1" ht="18.75">
      <c r="A21" s="179">
        <v>2202</v>
      </c>
      <c r="B21" s="179">
        <v>10</v>
      </c>
      <c r="C21" s="180" t="str">
        <f>IF(ISNA(VLOOKUP(B21,Master!AD$59:AP$106,3,FALSE)),"",VLOOKUP(B21,Master!AD$59:AP$106,3,FALSE))</f>
        <v/>
      </c>
      <c r="D21" s="181" t="str">
        <f>IF(ISNA(VLOOKUP(B21,Master!AD$59:AP$106,7,FALSE)),"",VLOOKUP(B21,Master!AD$59:AP$106,7,FALSE))</f>
        <v/>
      </c>
      <c r="E21" s="182" t="str">
        <f>IF(ISNA(VLOOKUP(B21,Master!AD$59:AP$106,8,FALSE)),"",VLOOKUP(B21,Master!AD$59:AP$106,8,FALSE))</f>
        <v/>
      </c>
      <c r="F21" s="183" t="str">
        <f>IF(ISNA(VLOOKUP(B21,Master!AD$59:AP$106,4,FALSE)),"",VLOOKUP(B21,Master!AD$59:AP$106,4,FALSE))</f>
        <v/>
      </c>
      <c r="G21" s="184" t="str">
        <f>IF(ISNA(VLOOKUP(B21,Master!AD$59:AP$106,5,FALSE)),"",VLOOKUP(B21,Master!AD$59:AP$106,5,FALSE))</f>
        <v/>
      </c>
      <c r="H21" s="185" t="str">
        <f>IF(ISNA(VLOOKUP(B21,Master!AD$59:AP$106,6,FALSE)),"",VLOOKUP(B21,Master!AD$59:AP$106,6,FALSE))</f>
        <v/>
      </c>
      <c r="I21" s="179" t="str">
        <f t="shared" si="34"/>
        <v/>
      </c>
      <c r="J21" s="181" t="str">
        <f t="shared" ca="1" si="35"/>
        <v/>
      </c>
      <c r="K21" s="179" t="str">
        <f t="shared" si="36"/>
        <v/>
      </c>
      <c r="L21" s="179" t="str">
        <f t="shared" si="37"/>
        <v/>
      </c>
      <c r="M21" s="179" t="str">
        <f t="shared" si="38"/>
        <v/>
      </c>
      <c r="N21" s="268" t="str">
        <f>IF(ISNA(VLOOKUP(B21,Master!AD$59:AP$106,12,FALSE)),"",VLOOKUP(B21,Master!AD$59:AP$106,12,FALSE))</f>
        <v/>
      </c>
      <c r="O21" s="262"/>
      <c r="P21" s="262"/>
      <c r="Q21" s="262"/>
      <c r="R21" s="262">
        <f t="shared" si="39"/>
        <v>0</v>
      </c>
      <c r="S21" s="102">
        <f t="shared" si="40"/>
        <v>1</v>
      </c>
      <c r="T21" s="1" t="str">
        <f>IF(ISNA(VLOOKUP(B21,Master!AD$59:AP$106,10,FALSE)),"",VLOOKUP(B21,Master!AD$59:AP$106,10,FALSE))</f>
        <v/>
      </c>
      <c r="U21" s="127"/>
      <c r="V21" s="127"/>
      <c r="W21" s="128" t="str">
        <f>IF(ISNA(VLOOKUP(B21,Master!AD$59:AP$106,11,FALSE)),"",VLOOKUP(B21,Master!AD$59:AP$106,11,FALSE))</f>
        <v/>
      </c>
      <c r="X21" s="128" t="str">
        <f>IF(ISNA(VLOOKUP(B21,Master!AD$59:AP$106,9,FALSE)),"",VLOOKUP(B21,Master!AD$59:AP$106,9,FALSE))</f>
        <v/>
      </c>
      <c r="Y21" s="129">
        <f t="shared" si="0"/>
        <v>0</v>
      </c>
      <c r="Z21" s="129">
        <f t="shared" si="1"/>
        <v>0</v>
      </c>
      <c r="AA21" s="129">
        <f t="shared" si="2"/>
        <v>0</v>
      </c>
      <c r="AB21" s="129">
        <f t="shared" si="3"/>
        <v>0</v>
      </c>
      <c r="AC21" s="129">
        <f t="shared" si="4"/>
        <v>0</v>
      </c>
      <c r="AD21" s="129">
        <f t="shared" si="5"/>
        <v>0</v>
      </c>
      <c r="AE21" s="130" t="str">
        <f t="shared" si="41"/>
        <v/>
      </c>
      <c r="AF21" s="130" t="str">
        <f t="shared" si="42"/>
        <v/>
      </c>
      <c r="AG21" s="130" t="str">
        <f t="shared" si="43"/>
        <v/>
      </c>
      <c r="AH21" s="130" t="str">
        <f t="shared" si="44"/>
        <v/>
      </c>
      <c r="AI21" s="130" t="str">
        <f t="shared" si="45"/>
        <v/>
      </c>
      <c r="AJ21" s="128" t="str">
        <f t="shared" si="46"/>
        <v/>
      </c>
      <c r="AK21" s="128">
        <v>0</v>
      </c>
      <c r="AL21" s="129">
        <v>0</v>
      </c>
      <c r="AM21" s="128" t="str">
        <f t="shared" si="47"/>
        <v/>
      </c>
      <c r="AN21" s="129">
        <f t="shared" si="6"/>
        <v>0</v>
      </c>
      <c r="AO21" s="128">
        <f t="shared" si="48"/>
        <v>0</v>
      </c>
      <c r="AP21" s="128">
        <f t="shared" si="7"/>
        <v>0</v>
      </c>
      <c r="AQ21" s="128">
        <f t="shared" si="8"/>
        <v>0</v>
      </c>
      <c r="AR21" s="128">
        <f t="shared" si="9"/>
        <v>0</v>
      </c>
      <c r="AS21" s="130">
        <f t="shared" si="10"/>
        <v>0</v>
      </c>
      <c r="AT21" s="130">
        <f t="shared" si="11"/>
        <v>0</v>
      </c>
      <c r="AU21" s="128"/>
      <c r="AV21" s="128"/>
      <c r="AW21" s="130">
        <f t="shared" si="12"/>
        <v>0</v>
      </c>
      <c r="AX21" s="130">
        <f t="shared" si="13"/>
        <v>0</v>
      </c>
      <c r="AY21" s="130">
        <f t="shared" si="14"/>
        <v>0</v>
      </c>
      <c r="AZ21" s="130">
        <f t="shared" si="15"/>
        <v>0</v>
      </c>
      <c r="BA21" s="130">
        <f t="shared" si="16"/>
        <v>0</v>
      </c>
      <c r="BB21" s="128">
        <f t="shared" si="17"/>
        <v>0</v>
      </c>
      <c r="BC21" s="128">
        <f t="shared" si="18"/>
        <v>0</v>
      </c>
      <c r="BD21" s="129">
        <v>0</v>
      </c>
      <c r="BE21" s="128">
        <f t="shared" si="19"/>
        <v>0</v>
      </c>
      <c r="BF21" s="129">
        <f t="shared" si="20"/>
        <v>0</v>
      </c>
      <c r="BG21" s="128">
        <f t="shared" si="49"/>
        <v>0</v>
      </c>
      <c r="BH21" s="128">
        <f t="shared" si="21"/>
        <v>0</v>
      </c>
      <c r="BI21" s="128">
        <f t="shared" si="22"/>
        <v>0</v>
      </c>
      <c r="BJ21" s="128">
        <f t="shared" si="23"/>
        <v>0</v>
      </c>
      <c r="BK21" s="130">
        <f t="shared" si="24"/>
        <v>0</v>
      </c>
      <c r="BL21" s="130">
        <f t="shared" si="25"/>
        <v>0</v>
      </c>
      <c r="BM21" s="128"/>
      <c r="BN21" s="128"/>
      <c r="BO21" s="130">
        <f t="shared" si="26"/>
        <v>0</v>
      </c>
      <c r="BP21" s="124">
        <f t="shared" si="27"/>
        <v>0</v>
      </c>
      <c r="BQ21" s="124">
        <f t="shared" si="28"/>
        <v>1</v>
      </c>
      <c r="BR21" s="124">
        <f t="shared" si="29"/>
        <v>0</v>
      </c>
      <c r="BS21" s="124">
        <f t="shared" si="30"/>
        <v>0</v>
      </c>
      <c r="BT21" s="124">
        <f t="shared" si="50"/>
        <v>0</v>
      </c>
      <c r="BU21" s="124">
        <f t="shared" si="31"/>
        <v>1</v>
      </c>
      <c r="BV21" s="110">
        <f t="shared" si="32"/>
        <v>0</v>
      </c>
      <c r="BW21" s="131">
        <f t="shared" si="51"/>
        <v>1</v>
      </c>
      <c r="BX21" s="110">
        <f t="shared" si="52"/>
        <v>0</v>
      </c>
      <c r="BY21" s="110">
        <f t="shared" si="53"/>
        <v>0</v>
      </c>
      <c r="BZ21" s="99" t="str">
        <f t="shared" si="33"/>
        <v/>
      </c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</row>
    <row r="22" spans="1:104" s="126" customFormat="1" ht="18.75">
      <c r="A22" s="179">
        <v>2202</v>
      </c>
      <c r="B22" s="179">
        <v>11</v>
      </c>
      <c r="C22" s="180" t="str">
        <f>IF(ISNA(VLOOKUP(B22,Master!AD$59:AP$106,3,FALSE)),"",VLOOKUP(B22,Master!AD$59:AP$106,3,FALSE))</f>
        <v/>
      </c>
      <c r="D22" s="181" t="str">
        <f>IF(ISNA(VLOOKUP(B22,Master!AD$59:AP$106,7,FALSE)),"",VLOOKUP(B22,Master!AD$59:AP$106,7,FALSE))</f>
        <v/>
      </c>
      <c r="E22" s="182" t="str">
        <f>IF(ISNA(VLOOKUP(B22,Master!AD$59:AP$106,8,FALSE)),"",VLOOKUP(B22,Master!AD$59:AP$106,8,FALSE))</f>
        <v/>
      </c>
      <c r="F22" s="183" t="str">
        <f>IF(ISNA(VLOOKUP(B22,Master!AD$59:AP$106,4,FALSE)),"",VLOOKUP(B22,Master!AD$59:AP$106,4,FALSE))</f>
        <v/>
      </c>
      <c r="G22" s="184" t="str">
        <f>IF(ISNA(VLOOKUP(B22,Master!AD$59:AP$106,5,FALSE)),"",VLOOKUP(B22,Master!AD$59:AP$106,5,FALSE))</f>
        <v/>
      </c>
      <c r="H22" s="185" t="str">
        <f>IF(ISNA(VLOOKUP(B22,Master!AD$59:AP$106,6,FALSE)),"",VLOOKUP(B22,Master!AD$59:AP$106,6,FALSE))</f>
        <v/>
      </c>
      <c r="I22" s="179" t="str">
        <f t="shared" si="34"/>
        <v/>
      </c>
      <c r="J22" s="181" t="str">
        <f t="shared" ca="1" si="35"/>
        <v/>
      </c>
      <c r="K22" s="179" t="str">
        <f t="shared" si="36"/>
        <v/>
      </c>
      <c r="L22" s="179" t="str">
        <f t="shared" si="37"/>
        <v/>
      </c>
      <c r="M22" s="179" t="str">
        <f t="shared" si="38"/>
        <v/>
      </c>
      <c r="N22" s="268" t="str">
        <f>IF(ISNA(VLOOKUP(B22,Master!AD$59:AP$106,12,FALSE)),"",VLOOKUP(B22,Master!AD$59:AP$106,12,FALSE))</f>
        <v/>
      </c>
      <c r="O22" s="262"/>
      <c r="P22" s="262"/>
      <c r="Q22" s="262"/>
      <c r="R22" s="262">
        <f t="shared" si="39"/>
        <v>0</v>
      </c>
      <c r="S22" s="102">
        <f t="shared" si="40"/>
        <v>1</v>
      </c>
      <c r="T22" s="1" t="str">
        <f>IF(ISNA(VLOOKUP(B22,Master!AD$59:AP$106,10,FALSE)),"",VLOOKUP(B22,Master!AD$59:AP$106,10,FALSE))</f>
        <v/>
      </c>
      <c r="U22" s="127"/>
      <c r="V22" s="127"/>
      <c r="W22" s="128" t="str">
        <f>IF(ISNA(VLOOKUP(B22,Master!AD$59:AP$106,11,FALSE)),"",VLOOKUP(B22,Master!AD$59:AP$106,11,FALSE))</f>
        <v/>
      </c>
      <c r="X22" s="128" t="str">
        <f>IF(ISNA(VLOOKUP(B22,Master!AD$59:AP$106,9,FALSE)),"",VLOOKUP(B22,Master!AD$59:AP$106,9,FALSE))</f>
        <v/>
      </c>
      <c r="Y22" s="129">
        <f t="shared" si="0"/>
        <v>0</v>
      </c>
      <c r="Z22" s="129">
        <f t="shared" si="1"/>
        <v>0</v>
      </c>
      <c r="AA22" s="129">
        <f t="shared" si="2"/>
        <v>0</v>
      </c>
      <c r="AB22" s="129">
        <f t="shared" si="3"/>
        <v>0</v>
      </c>
      <c r="AC22" s="129">
        <f t="shared" si="4"/>
        <v>0</v>
      </c>
      <c r="AD22" s="129">
        <f t="shared" si="5"/>
        <v>0</v>
      </c>
      <c r="AE22" s="130" t="str">
        <f t="shared" si="41"/>
        <v/>
      </c>
      <c r="AF22" s="130" t="str">
        <f t="shared" si="42"/>
        <v/>
      </c>
      <c r="AG22" s="130" t="str">
        <f t="shared" si="43"/>
        <v/>
      </c>
      <c r="AH22" s="130" t="str">
        <f t="shared" si="44"/>
        <v/>
      </c>
      <c r="AI22" s="130" t="str">
        <f t="shared" si="45"/>
        <v/>
      </c>
      <c r="AJ22" s="128" t="str">
        <f t="shared" si="46"/>
        <v/>
      </c>
      <c r="AK22" s="128">
        <v>0</v>
      </c>
      <c r="AL22" s="129">
        <v>0</v>
      </c>
      <c r="AM22" s="128" t="str">
        <f t="shared" si="47"/>
        <v/>
      </c>
      <c r="AN22" s="129">
        <f t="shared" si="6"/>
        <v>0</v>
      </c>
      <c r="AO22" s="128">
        <f t="shared" si="48"/>
        <v>0</v>
      </c>
      <c r="AP22" s="128">
        <f t="shared" si="7"/>
        <v>0</v>
      </c>
      <c r="AQ22" s="128">
        <f t="shared" si="8"/>
        <v>0</v>
      </c>
      <c r="AR22" s="128">
        <f t="shared" si="9"/>
        <v>0</v>
      </c>
      <c r="AS22" s="130">
        <f t="shared" si="10"/>
        <v>0</v>
      </c>
      <c r="AT22" s="130">
        <f t="shared" si="11"/>
        <v>0</v>
      </c>
      <c r="AU22" s="128"/>
      <c r="AV22" s="128"/>
      <c r="AW22" s="130">
        <f t="shared" si="12"/>
        <v>0</v>
      </c>
      <c r="AX22" s="130">
        <f t="shared" si="13"/>
        <v>0</v>
      </c>
      <c r="AY22" s="130">
        <f t="shared" si="14"/>
        <v>0</v>
      </c>
      <c r="AZ22" s="130">
        <f t="shared" si="15"/>
        <v>0</v>
      </c>
      <c r="BA22" s="130">
        <f t="shared" si="16"/>
        <v>0</v>
      </c>
      <c r="BB22" s="128">
        <f t="shared" si="17"/>
        <v>0</v>
      </c>
      <c r="BC22" s="128">
        <f t="shared" si="18"/>
        <v>0</v>
      </c>
      <c r="BD22" s="129">
        <v>0</v>
      </c>
      <c r="BE22" s="128">
        <f t="shared" si="19"/>
        <v>0</v>
      </c>
      <c r="BF22" s="129">
        <f t="shared" si="20"/>
        <v>0</v>
      </c>
      <c r="BG22" s="128">
        <f t="shared" si="49"/>
        <v>0</v>
      </c>
      <c r="BH22" s="128">
        <f t="shared" si="21"/>
        <v>0</v>
      </c>
      <c r="BI22" s="128">
        <f t="shared" si="22"/>
        <v>0</v>
      </c>
      <c r="BJ22" s="128">
        <f t="shared" si="23"/>
        <v>0</v>
      </c>
      <c r="BK22" s="130">
        <f t="shared" si="24"/>
        <v>0</v>
      </c>
      <c r="BL22" s="130">
        <f t="shared" si="25"/>
        <v>0</v>
      </c>
      <c r="BM22" s="128"/>
      <c r="BN22" s="128"/>
      <c r="BO22" s="130">
        <f t="shared" si="26"/>
        <v>0</v>
      </c>
      <c r="BP22" s="124">
        <f t="shared" si="27"/>
        <v>0</v>
      </c>
      <c r="BQ22" s="124">
        <f t="shared" si="28"/>
        <v>1</v>
      </c>
      <c r="BR22" s="124">
        <f t="shared" si="29"/>
        <v>0</v>
      </c>
      <c r="BS22" s="124">
        <f t="shared" si="30"/>
        <v>0</v>
      </c>
      <c r="BT22" s="124">
        <f t="shared" si="50"/>
        <v>0</v>
      </c>
      <c r="BU22" s="124">
        <f t="shared" si="31"/>
        <v>1</v>
      </c>
      <c r="BV22" s="110">
        <f t="shared" si="32"/>
        <v>0</v>
      </c>
      <c r="BW22" s="131">
        <f t="shared" si="51"/>
        <v>1</v>
      </c>
      <c r="BX22" s="110">
        <f t="shared" si="52"/>
        <v>0</v>
      </c>
      <c r="BY22" s="110">
        <f t="shared" si="53"/>
        <v>0</v>
      </c>
      <c r="BZ22" s="99" t="str">
        <f t="shared" si="33"/>
        <v/>
      </c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</row>
    <row r="23" spans="1:104" s="126" customFormat="1" ht="18.75">
      <c r="A23" s="179">
        <v>2202</v>
      </c>
      <c r="B23" s="179">
        <v>12</v>
      </c>
      <c r="C23" s="180" t="str">
        <f>IF(ISNA(VLOOKUP(B23,Master!AD$59:AP$106,3,FALSE)),"",VLOOKUP(B23,Master!AD$59:AP$106,3,FALSE))</f>
        <v/>
      </c>
      <c r="D23" s="181" t="str">
        <f>IF(ISNA(VLOOKUP(B23,Master!AD$59:AP$106,7,FALSE)),"",VLOOKUP(B23,Master!AD$59:AP$106,7,FALSE))</f>
        <v/>
      </c>
      <c r="E23" s="182" t="str">
        <f>IF(ISNA(VLOOKUP(B23,Master!AD$59:AP$106,8,FALSE)),"",VLOOKUP(B23,Master!AD$59:AP$106,8,FALSE))</f>
        <v/>
      </c>
      <c r="F23" s="183" t="str">
        <f>IF(ISNA(VLOOKUP(B23,Master!AD$59:AP$106,4,FALSE)),"",VLOOKUP(B23,Master!AD$59:AP$106,4,FALSE))</f>
        <v/>
      </c>
      <c r="G23" s="184" t="str">
        <f>IF(ISNA(VLOOKUP(B23,Master!AD$59:AP$106,5,FALSE)),"",VLOOKUP(B23,Master!AD$59:AP$106,5,FALSE))</f>
        <v/>
      </c>
      <c r="H23" s="185" t="str">
        <f>IF(ISNA(VLOOKUP(B23,Master!AD$59:AP$106,6,FALSE)),"",VLOOKUP(B23,Master!AD$59:AP$106,6,FALSE))</f>
        <v/>
      </c>
      <c r="I23" s="179" t="str">
        <f t="shared" si="34"/>
        <v/>
      </c>
      <c r="J23" s="181" t="str">
        <f t="shared" ca="1" si="35"/>
        <v/>
      </c>
      <c r="K23" s="179" t="str">
        <f t="shared" si="36"/>
        <v/>
      </c>
      <c r="L23" s="179" t="str">
        <f t="shared" si="37"/>
        <v/>
      </c>
      <c r="M23" s="179" t="str">
        <f t="shared" si="38"/>
        <v/>
      </c>
      <c r="N23" s="268" t="str">
        <f>IF(ISNA(VLOOKUP(B23,Master!AD$59:AP$106,12,FALSE)),"",VLOOKUP(B23,Master!AD$59:AP$106,12,FALSE))</f>
        <v/>
      </c>
      <c r="O23" s="262"/>
      <c r="P23" s="262"/>
      <c r="Q23" s="262"/>
      <c r="R23" s="262">
        <f t="shared" si="39"/>
        <v>0</v>
      </c>
      <c r="S23" s="102">
        <f t="shared" si="40"/>
        <v>1</v>
      </c>
      <c r="T23" s="1" t="str">
        <f>IF(ISNA(VLOOKUP(B23,Master!AD$59:AP$106,10,FALSE)),"",VLOOKUP(B23,Master!AD$59:AP$106,10,FALSE))</f>
        <v/>
      </c>
      <c r="U23" s="127"/>
      <c r="V23" s="127"/>
      <c r="W23" s="128" t="str">
        <f>IF(ISNA(VLOOKUP(B23,Master!AD$59:AP$106,11,FALSE)),"",VLOOKUP(B23,Master!AD$59:AP$106,11,FALSE))</f>
        <v/>
      </c>
      <c r="X23" s="128" t="str">
        <f>IF(ISNA(VLOOKUP(B23,Master!AD$59:AP$106,9,FALSE)),"",VLOOKUP(B23,Master!AD$59:AP$106,9,FALSE))</f>
        <v/>
      </c>
      <c r="Y23" s="129">
        <f t="shared" si="0"/>
        <v>0</v>
      </c>
      <c r="Z23" s="129">
        <f t="shared" si="1"/>
        <v>0</v>
      </c>
      <c r="AA23" s="129">
        <f t="shared" si="2"/>
        <v>0</v>
      </c>
      <c r="AB23" s="129">
        <f t="shared" si="3"/>
        <v>0</v>
      </c>
      <c r="AC23" s="129">
        <f t="shared" si="4"/>
        <v>0</v>
      </c>
      <c r="AD23" s="129">
        <f t="shared" si="5"/>
        <v>0</v>
      </c>
      <c r="AE23" s="130" t="str">
        <f t="shared" si="41"/>
        <v/>
      </c>
      <c r="AF23" s="130" t="str">
        <f t="shared" si="42"/>
        <v/>
      </c>
      <c r="AG23" s="130" t="str">
        <f t="shared" si="43"/>
        <v/>
      </c>
      <c r="AH23" s="130" t="str">
        <f t="shared" si="44"/>
        <v/>
      </c>
      <c r="AI23" s="130" t="str">
        <f t="shared" si="45"/>
        <v/>
      </c>
      <c r="AJ23" s="128" t="str">
        <f t="shared" si="46"/>
        <v/>
      </c>
      <c r="AK23" s="128">
        <v>0</v>
      </c>
      <c r="AL23" s="129">
        <v>0</v>
      </c>
      <c r="AM23" s="128" t="str">
        <f t="shared" si="47"/>
        <v/>
      </c>
      <c r="AN23" s="129">
        <f t="shared" si="6"/>
        <v>0</v>
      </c>
      <c r="AO23" s="128">
        <f t="shared" si="48"/>
        <v>0</v>
      </c>
      <c r="AP23" s="128">
        <f t="shared" si="7"/>
        <v>0</v>
      </c>
      <c r="AQ23" s="128">
        <f t="shared" si="8"/>
        <v>0</v>
      </c>
      <c r="AR23" s="128">
        <f t="shared" si="9"/>
        <v>0</v>
      </c>
      <c r="AS23" s="130">
        <f t="shared" si="10"/>
        <v>0</v>
      </c>
      <c r="AT23" s="130">
        <f t="shared" si="11"/>
        <v>0</v>
      </c>
      <c r="AU23" s="128"/>
      <c r="AV23" s="128"/>
      <c r="AW23" s="130">
        <f t="shared" si="12"/>
        <v>0</v>
      </c>
      <c r="AX23" s="130">
        <f t="shared" si="13"/>
        <v>0</v>
      </c>
      <c r="AY23" s="130">
        <f t="shared" si="14"/>
        <v>0</v>
      </c>
      <c r="AZ23" s="130">
        <f t="shared" si="15"/>
        <v>0</v>
      </c>
      <c r="BA23" s="130">
        <f t="shared" si="16"/>
        <v>0</v>
      </c>
      <c r="BB23" s="128">
        <f t="shared" si="17"/>
        <v>0</v>
      </c>
      <c r="BC23" s="128">
        <f t="shared" si="18"/>
        <v>0</v>
      </c>
      <c r="BD23" s="129">
        <v>0</v>
      </c>
      <c r="BE23" s="128">
        <f t="shared" si="19"/>
        <v>0</v>
      </c>
      <c r="BF23" s="129">
        <f t="shared" si="20"/>
        <v>0</v>
      </c>
      <c r="BG23" s="128">
        <f t="shared" si="49"/>
        <v>0</v>
      </c>
      <c r="BH23" s="128">
        <f t="shared" si="21"/>
        <v>0</v>
      </c>
      <c r="BI23" s="128">
        <f t="shared" si="22"/>
        <v>0</v>
      </c>
      <c r="BJ23" s="128">
        <f t="shared" si="23"/>
        <v>0</v>
      </c>
      <c r="BK23" s="130">
        <f t="shared" si="24"/>
        <v>0</v>
      </c>
      <c r="BL23" s="130">
        <f t="shared" si="25"/>
        <v>0</v>
      </c>
      <c r="BM23" s="128"/>
      <c r="BN23" s="128"/>
      <c r="BO23" s="130">
        <f t="shared" si="26"/>
        <v>0</v>
      </c>
      <c r="BP23" s="124">
        <f t="shared" si="27"/>
        <v>0</v>
      </c>
      <c r="BQ23" s="124">
        <f t="shared" si="28"/>
        <v>1</v>
      </c>
      <c r="BR23" s="124">
        <f t="shared" si="29"/>
        <v>0</v>
      </c>
      <c r="BS23" s="124">
        <f t="shared" si="30"/>
        <v>0</v>
      </c>
      <c r="BT23" s="124">
        <f t="shared" si="50"/>
        <v>0</v>
      </c>
      <c r="BU23" s="124">
        <f t="shared" si="31"/>
        <v>1</v>
      </c>
      <c r="BV23" s="110">
        <f t="shared" si="32"/>
        <v>0</v>
      </c>
      <c r="BW23" s="131">
        <f t="shared" si="51"/>
        <v>1</v>
      </c>
      <c r="BX23" s="110">
        <f t="shared" si="52"/>
        <v>0</v>
      </c>
      <c r="BY23" s="110">
        <f t="shared" si="53"/>
        <v>0</v>
      </c>
      <c r="BZ23" s="99" t="str">
        <f t="shared" si="33"/>
        <v/>
      </c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</row>
    <row r="24" spans="1:104" s="126" customFormat="1" ht="18.75">
      <c r="A24" s="179">
        <v>2202</v>
      </c>
      <c r="B24" s="179">
        <v>13</v>
      </c>
      <c r="C24" s="180" t="str">
        <f>IF(ISNA(VLOOKUP(B24,Master!AD$59:AP$106,3,FALSE)),"",VLOOKUP(B24,Master!AD$59:AP$106,3,FALSE))</f>
        <v/>
      </c>
      <c r="D24" s="181" t="str">
        <f>IF(ISNA(VLOOKUP(B24,Master!AD$59:AP$106,7,FALSE)),"",VLOOKUP(B24,Master!AD$59:AP$106,7,FALSE))</f>
        <v/>
      </c>
      <c r="E24" s="182" t="str">
        <f>IF(ISNA(VLOOKUP(B24,Master!AD$59:AP$106,8,FALSE)),"",VLOOKUP(B24,Master!AD$59:AP$106,8,FALSE))</f>
        <v/>
      </c>
      <c r="F24" s="183" t="str">
        <f>IF(ISNA(VLOOKUP(B24,Master!AD$59:AP$106,4,FALSE)),"",VLOOKUP(B24,Master!AD$59:AP$106,4,FALSE))</f>
        <v/>
      </c>
      <c r="G24" s="184" t="str">
        <f>IF(ISNA(VLOOKUP(B24,Master!AD$59:AP$106,5,FALSE)),"",VLOOKUP(B24,Master!AD$59:AP$106,5,FALSE))</f>
        <v/>
      </c>
      <c r="H24" s="185" t="str">
        <f>IF(ISNA(VLOOKUP(B24,Master!AD$59:AP$106,6,FALSE)),"",VLOOKUP(B24,Master!AD$59:AP$106,6,FALSE))</f>
        <v/>
      </c>
      <c r="I24" s="179" t="str">
        <f t="shared" si="34"/>
        <v/>
      </c>
      <c r="J24" s="181" t="str">
        <f t="shared" ca="1" si="35"/>
        <v/>
      </c>
      <c r="K24" s="179" t="str">
        <f t="shared" si="36"/>
        <v/>
      </c>
      <c r="L24" s="179" t="str">
        <f t="shared" si="37"/>
        <v/>
      </c>
      <c r="M24" s="179" t="str">
        <f t="shared" si="38"/>
        <v/>
      </c>
      <c r="N24" s="268" t="str">
        <f>IF(ISNA(VLOOKUP(B24,Master!AD$59:AP$106,12,FALSE)),"",VLOOKUP(B24,Master!AD$59:AP$106,12,FALSE))</f>
        <v/>
      </c>
      <c r="O24" s="262"/>
      <c r="P24" s="262"/>
      <c r="Q24" s="262"/>
      <c r="R24" s="262">
        <f t="shared" si="39"/>
        <v>0</v>
      </c>
      <c r="S24" s="102">
        <f t="shared" si="40"/>
        <v>1</v>
      </c>
      <c r="T24" s="1" t="str">
        <f>IF(ISNA(VLOOKUP(B24,Master!AD$59:AP$106,10,FALSE)),"",VLOOKUP(B24,Master!AD$59:AP$106,10,FALSE))</f>
        <v/>
      </c>
      <c r="U24" s="127"/>
      <c r="V24" s="127"/>
      <c r="W24" s="128" t="str">
        <f>IF(ISNA(VLOOKUP(B24,Master!AD$59:AP$106,11,FALSE)),"",VLOOKUP(B24,Master!AD$59:AP$106,11,FALSE))</f>
        <v/>
      </c>
      <c r="X24" s="128" t="str">
        <f>IF(ISNA(VLOOKUP(B24,Master!AD$59:AP$106,9,FALSE)),"",VLOOKUP(B24,Master!AD$59:AP$106,9,FALSE))</f>
        <v/>
      </c>
      <c r="Y24" s="129">
        <f t="shared" si="0"/>
        <v>0</v>
      </c>
      <c r="Z24" s="129">
        <f t="shared" si="1"/>
        <v>0</v>
      </c>
      <c r="AA24" s="129">
        <f t="shared" si="2"/>
        <v>0</v>
      </c>
      <c r="AB24" s="129">
        <f t="shared" si="3"/>
        <v>0</v>
      </c>
      <c r="AC24" s="129">
        <f t="shared" si="4"/>
        <v>0</v>
      </c>
      <c r="AD24" s="129">
        <f t="shared" si="5"/>
        <v>0</v>
      </c>
      <c r="AE24" s="130" t="str">
        <f t="shared" si="41"/>
        <v/>
      </c>
      <c r="AF24" s="130" t="str">
        <f t="shared" si="42"/>
        <v/>
      </c>
      <c r="AG24" s="130" t="str">
        <f t="shared" si="43"/>
        <v/>
      </c>
      <c r="AH24" s="130" t="str">
        <f t="shared" si="44"/>
        <v/>
      </c>
      <c r="AI24" s="130" t="str">
        <f t="shared" si="45"/>
        <v/>
      </c>
      <c r="AJ24" s="128" t="str">
        <f t="shared" si="46"/>
        <v/>
      </c>
      <c r="AK24" s="128">
        <v>0</v>
      </c>
      <c r="AL24" s="129">
        <v>0</v>
      </c>
      <c r="AM24" s="128" t="str">
        <f t="shared" si="47"/>
        <v/>
      </c>
      <c r="AN24" s="129">
        <f t="shared" si="6"/>
        <v>0</v>
      </c>
      <c r="AO24" s="128">
        <f t="shared" si="48"/>
        <v>0</v>
      </c>
      <c r="AP24" s="128">
        <f t="shared" si="7"/>
        <v>0</v>
      </c>
      <c r="AQ24" s="128">
        <f t="shared" si="8"/>
        <v>0</v>
      </c>
      <c r="AR24" s="128">
        <f t="shared" si="9"/>
        <v>0</v>
      </c>
      <c r="AS24" s="130">
        <f t="shared" si="10"/>
        <v>0</v>
      </c>
      <c r="AT24" s="130">
        <f t="shared" si="11"/>
        <v>0</v>
      </c>
      <c r="AU24" s="128"/>
      <c r="AV24" s="128"/>
      <c r="AW24" s="130">
        <f t="shared" si="12"/>
        <v>0</v>
      </c>
      <c r="AX24" s="130">
        <f t="shared" si="13"/>
        <v>0</v>
      </c>
      <c r="AY24" s="130">
        <f t="shared" si="14"/>
        <v>0</v>
      </c>
      <c r="AZ24" s="130">
        <f t="shared" si="15"/>
        <v>0</v>
      </c>
      <c r="BA24" s="130">
        <f t="shared" si="16"/>
        <v>0</v>
      </c>
      <c r="BB24" s="128">
        <f t="shared" si="17"/>
        <v>0</v>
      </c>
      <c r="BC24" s="128">
        <f t="shared" si="18"/>
        <v>0</v>
      </c>
      <c r="BD24" s="129">
        <v>0</v>
      </c>
      <c r="BE24" s="128">
        <f t="shared" si="19"/>
        <v>0</v>
      </c>
      <c r="BF24" s="129">
        <f t="shared" si="20"/>
        <v>0</v>
      </c>
      <c r="BG24" s="128">
        <f t="shared" si="49"/>
        <v>0</v>
      </c>
      <c r="BH24" s="128">
        <f t="shared" si="21"/>
        <v>0</v>
      </c>
      <c r="BI24" s="128">
        <f t="shared" si="22"/>
        <v>0</v>
      </c>
      <c r="BJ24" s="128">
        <f t="shared" si="23"/>
        <v>0</v>
      </c>
      <c r="BK24" s="130">
        <f t="shared" si="24"/>
        <v>0</v>
      </c>
      <c r="BL24" s="130">
        <f t="shared" si="25"/>
        <v>0</v>
      </c>
      <c r="BM24" s="128"/>
      <c r="BN24" s="128"/>
      <c r="BO24" s="130">
        <f t="shared" si="26"/>
        <v>0</v>
      </c>
      <c r="BP24" s="124">
        <f t="shared" si="27"/>
        <v>0</v>
      </c>
      <c r="BQ24" s="124">
        <f t="shared" si="28"/>
        <v>1</v>
      </c>
      <c r="BR24" s="124">
        <f t="shared" si="29"/>
        <v>0</v>
      </c>
      <c r="BS24" s="124">
        <f t="shared" si="30"/>
        <v>0</v>
      </c>
      <c r="BT24" s="124">
        <f t="shared" si="50"/>
        <v>0</v>
      </c>
      <c r="BU24" s="124">
        <f t="shared" si="31"/>
        <v>1</v>
      </c>
      <c r="BV24" s="110">
        <f t="shared" si="32"/>
        <v>0</v>
      </c>
      <c r="BW24" s="131">
        <f t="shared" si="51"/>
        <v>1</v>
      </c>
      <c r="BX24" s="110">
        <f t="shared" si="52"/>
        <v>0</v>
      </c>
      <c r="BY24" s="110">
        <f t="shared" si="53"/>
        <v>0</v>
      </c>
      <c r="BZ24" s="99" t="str">
        <f t="shared" si="33"/>
        <v/>
      </c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</row>
    <row r="25" spans="1:104" s="126" customFormat="1" ht="18.75">
      <c r="A25" s="179">
        <v>2202</v>
      </c>
      <c r="B25" s="179">
        <v>14</v>
      </c>
      <c r="C25" s="180" t="str">
        <f>IF(ISNA(VLOOKUP(B25,Master!AD$59:AP$106,3,FALSE)),"",VLOOKUP(B25,Master!AD$59:AP$106,3,FALSE))</f>
        <v/>
      </c>
      <c r="D25" s="181" t="str">
        <f>IF(ISNA(VLOOKUP(B25,Master!AD$59:AP$106,7,FALSE)),"",VLOOKUP(B25,Master!AD$59:AP$106,7,FALSE))</f>
        <v/>
      </c>
      <c r="E25" s="182" t="str">
        <f>IF(ISNA(VLOOKUP(B25,Master!AD$59:AP$106,8,FALSE)),"",VLOOKUP(B25,Master!AD$59:AP$106,8,FALSE))</f>
        <v/>
      </c>
      <c r="F25" s="183" t="str">
        <f>IF(ISNA(VLOOKUP(B25,Master!AD$59:AP$106,4,FALSE)),"",VLOOKUP(B25,Master!AD$59:AP$106,4,FALSE))</f>
        <v/>
      </c>
      <c r="G25" s="184" t="str">
        <f>IF(ISNA(VLOOKUP(B25,Master!AD$59:AP$106,5,FALSE)),"",VLOOKUP(B25,Master!AD$59:AP$106,5,FALSE))</f>
        <v/>
      </c>
      <c r="H25" s="185" t="str">
        <f>IF(ISNA(VLOOKUP(B25,Master!AD$59:AP$106,6,FALSE)),"",VLOOKUP(B25,Master!AD$59:AP$106,6,FALSE))</f>
        <v/>
      </c>
      <c r="I25" s="179" t="str">
        <f t="shared" si="34"/>
        <v/>
      </c>
      <c r="J25" s="181" t="str">
        <f t="shared" ca="1" si="35"/>
        <v/>
      </c>
      <c r="K25" s="179" t="str">
        <f t="shared" si="36"/>
        <v/>
      </c>
      <c r="L25" s="179" t="str">
        <f t="shared" si="37"/>
        <v/>
      </c>
      <c r="M25" s="179" t="str">
        <f t="shared" si="38"/>
        <v/>
      </c>
      <c r="N25" s="268" t="str">
        <f>IF(ISNA(VLOOKUP(B25,Master!AD$59:AP$106,12,FALSE)),"",VLOOKUP(B25,Master!AD$59:AP$106,12,FALSE))</f>
        <v/>
      </c>
      <c r="O25" s="262"/>
      <c r="P25" s="262"/>
      <c r="Q25" s="262"/>
      <c r="R25" s="262">
        <f t="shared" si="39"/>
        <v>0</v>
      </c>
      <c r="S25" s="102">
        <f t="shared" si="40"/>
        <v>1</v>
      </c>
      <c r="T25" s="1" t="str">
        <f>IF(ISNA(VLOOKUP(B25,Master!AD$59:AP$106,10,FALSE)),"",VLOOKUP(B25,Master!AD$59:AP$106,10,FALSE))</f>
        <v/>
      </c>
      <c r="U25" s="127"/>
      <c r="V25" s="127"/>
      <c r="W25" s="128" t="str">
        <f>IF(ISNA(VLOOKUP(B25,Master!AD$59:AP$106,11,FALSE)),"",VLOOKUP(B25,Master!AD$59:AP$106,11,FALSE))</f>
        <v/>
      </c>
      <c r="X25" s="128" t="str">
        <f>IF(ISNA(VLOOKUP(B25,Master!AD$59:AP$106,9,FALSE)),"",VLOOKUP(B25,Master!AD$59:AP$106,9,FALSE))</f>
        <v/>
      </c>
      <c r="Y25" s="129">
        <f t="shared" si="0"/>
        <v>0</v>
      </c>
      <c r="Z25" s="129">
        <f t="shared" si="1"/>
        <v>0</v>
      </c>
      <c r="AA25" s="129">
        <f t="shared" si="2"/>
        <v>0</v>
      </c>
      <c r="AB25" s="129">
        <f t="shared" si="3"/>
        <v>0</v>
      </c>
      <c r="AC25" s="129">
        <f t="shared" si="4"/>
        <v>0</v>
      </c>
      <c r="AD25" s="129">
        <f t="shared" si="5"/>
        <v>0</v>
      </c>
      <c r="AE25" s="130" t="str">
        <f t="shared" si="41"/>
        <v/>
      </c>
      <c r="AF25" s="130" t="str">
        <f t="shared" si="42"/>
        <v/>
      </c>
      <c r="AG25" s="130" t="str">
        <f t="shared" si="43"/>
        <v/>
      </c>
      <c r="AH25" s="130" t="str">
        <f t="shared" si="44"/>
        <v/>
      </c>
      <c r="AI25" s="130" t="str">
        <f t="shared" si="45"/>
        <v/>
      </c>
      <c r="AJ25" s="128" t="str">
        <f t="shared" si="46"/>
        <v/>
      </c>
      <c r="AK25" s="128">
        <v>0</v>
      </c>
      <c r="AL25" s="129">
        <v>0</v>
      </c>
      <c r="AM25" s="128" t="str">
        <f>IF(AND(AF25=""),"",ROUND((AF25+AG25)*$AM$10,0)*BT25)</f>
        <v/>
      </c>
      <c r="AN25" s="129">
        <f t="shared" si="6"/>
        <v>0</v>
      </c>
      <c r="AO25" s="128">
        <f t="shared" si="48"/>
        <v>0</v>
      </c>
      <c r="AP25" s="128">
        <f t="shared" si="7"/>
        <v>0</v>
      </c>
      <c r="AQ25" s="128">
        <f t="shared" si="8"/>
        <v>0</v>
      </c>
      <c r="AR25" s="128">
        <f t="shared" si="9"/>
        <v>0</v>
      </c>
      <c r="AS25" s="130">
        <f t="shared" si="10"/>
        <v>0</v>
      </c>
      <c r="AT25" s="130">
        <f t="shared" si="11"/>
        <v>0</v>
      </c>
      <c r="AU25" s="128"/>
      <c r="AV25" s="128"/>
      <c r="AW25" s="130">
        <f t="shared" si="12"/>
        <v>0</v>
      </c>
      <c r="AX25" s="130">
        <f t="shared" si="13"/>
        <v>0</v>
      </c>
      <c r="AY25" s="130">
        <f t="shared" si="14"/>
        <v>0</v>
      </c>
      <c r="AZ25" s="130">
        <f t="shared" si="15"/>
        <v>0</v>
      </c>
      <c r="BA25" s="130">
        <f t="shared" si="16"/>
        <v>0</v>
      </c>
      <c r="BB25" s="128">
        <f t="shared" si="17"/>
        <v>0</v>
      </c>
      <c r="BC25" s="128">
        <f t="shared" si="18"/>
        <v>0</v>
      </c>
      <c r="BD25" s="129">
        <v>0</v>
      </c>
      <c r="BE25" s="128">
        <f t="shared" si="19"/>
        <v>0</v>
      </c>
      <c r="BF25" s="129">
        <f t="shared" si="20"/>
        <v>0</v>
      </c>
      <c r="BG25" s="128">
        <f t="shared" si="49"/>
        <v>0</v>
      </c>
      <c r="BH25" s="128">
        <f t="shared" si="21"/>
        <v>0</v>
      </c>
      <c r="BI25" s="128">
        <f t="shared" si="22"/>
        <v>0</v>
      </c>
      <c r="BJ25" s="128">
        <f t="shared" si="23"/>
        <v>0</v>
      </c>
      <c r="BK25" s="130">
        <f t="shared" si="24"/>
        <v>0</v>
      </c>
      <c r="BL25" s="130">
        <f t="shared" si="25"/>
        <v>0</v>
      </c>
      <c r="BM25" s="128"/>
      <c r="BN25" s="128"/>
      <c r="BO25" s="130">
        <f t="shared" si="26"/>
        <v>0</v>
      </c>
      <c r="BP25" s="124">
        <f t="shared" si="27"/>
        <v>0</v>
      </c>
      <c r="BQ25" s="124">
        <f t="shared" si="28"/>
        <v>1</v>
      </c>
      <c r="BR25" s="124">
        <f t="shared" si="29"/>
        <v>0</v>
      </c>
      <c r="BS25" s="124">
        <f t="shared" si="30"/>
        <v>0</v>
      </c>
      <c r="BT25" s="124">
        <f t="shared" si="50"/>
        <v>0</v>
      </c>
      <c r="BU25" s="124">
        <f t="shared" si="31"/>
        <v>1</v>
      </c>
      <c r="BV25" s="110">
        <f t="shared" si="32"/>
        <v>0</v>
      </c>
      <c r="BW25" s="131">
        <f t="shared" si="51"/>
        <v>1</v>
      </c>
      <c r="BX25" s="110">
        <f t="shared" si="52"/>
        <v>0</v>
      </c>
      <c r="BY25" s="110">
        <f t="shared" si="53"/>
        <v>0</v>
      </c>
      <c r="BZ25" s="99" t="str">
        <f t="shared" si="33"/>
        <v/>
      </c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</row>
    <row r="26" spans="1:104" s="126" customFormat="1" ht="25.5" customHeight="1">
      <c r="A26" s="604"/>
      <c r="B26" s="616"/>
      <c r="C26" s="616"/>
      <c r="D26" s="616"/>
      <c r="E26" s="186"/>
      <c r="F26" s="187" t="s">
        <v>218</v>
      </c>
      <c r="G26" s="188"/>
      <c r="H26" s="269"/>
      <c r="I26" s="269">
        <f t="shared" ref="I26:M26" si="54">SUM(I12:I25)</f>
        <v>3054000</v>
      </c>
      <c r="J26" s="269"/>
      <c r="K26" s="269">
        <f t="shared" si="54"/>
        <v>61600</v>
      </c>
      <c r="L26" s="269">
        <f t="shared" si="54"/>
        <v>3115600</v>
      </c>
      <c r="M26" s="269">
        <f t="shared" si="54"/>
        <v>3024400</v>
      </c>
      <c r="N26" s="189"/>
      <c r="O26" s="263"/>
      <c r="P26" s="263"/>
      <c r="Q26" s="263"/>
      <c r="R26" s="263"/>
      <c r="S26" s="102"/>
      <c r="T26" s="1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30"/>
      <c r="AF26" s="125"/>
      <c r="AG26" s="125"/>
      <c r="AH26" s="125"/>
      <c r="AI26" s="125"/>
      <c r="AJ26" s="125"/>
      <c r="AK26" s="125"/>
      <c r="AL26" s="125"/>
      <c r="AM26" s="125"/>
      <c r="AN26" s="125"/>
      <c r="AO26" s="128"/>
      <c r="AP26" s="125"/>
      <c r="AQ26" s="128"/>
      <c r="AR26" s="125"/>
      <c r="AS26" s="125"/>
      <c r="AT26" s="125"/>
      <c r="AU26" s="128"/>
      <c r="AV26" s="128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8"/>
      <c r="BH26" s="125"/>
      <c r="BI26" s="125"/>
      <c r="BJ26" s="125"/>
      <c r="BK26" s="125"/>
      <c r="BL26" s="125"/>
      <c r="BM26" s="125"/>
      <c r="BN26" s="125"/>
      <c r="BO26" s="125"/>
      <c r="BP26" s="124"/>
      <c r="BQ26" s="124"/>
      <c r="BR26" s="124"/>
      <c r="BS26" s="124"/>
      <c r="BT26" s="124"/>
      <c r="BU26" s="124"/>
      <c r="BV26" s="110"/>
      <c r="BW26" s="110" t="str">
        <f>MID(D26,5,4)</f>
        <v/>
      </c>
      <c r="BX26" s="110"/>
      <c r="BY26" s="110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</row>
    <row r="27" spans="1:104" s="126" customFormat="1" ht="18.75">
      <c r="A27" s="179">
        <v>2202</v>
      </c>
      <c r="B27" s="179">
        <v>1</v>
      </c>
      <c r="C27" s="180" t="str">
        <f>IF(ISNA(VLOOKUP(B27,Master!AQ$59:BC$106,3,FALSE)),"",VLOOKUP(B27,Master!AQ$59:BC$106,3,FALSE))</f>
        <v>ghjkyky tkV</v>
      </c>
      <c r="D27" s="181" t="str">
        <f>IF(ISNA(VLOOKUP(B27,Master!AQ$59:BC$106,7,FALSE)),"",VLOOKUP(B27,Master!AQ$59:BC$106,7,FALSE))</f>
        <v>RJPA199029003936</v>
      </c>
      <c r="E27" s="182">
        <f>IF(ISNA(VLOOKUP(B27,Master!AQ$59:BC$106,8,FALSE)),"",VLOOKUP(B27,Master!AQ$59:BC$106,8,FALSE))</f>
        <v>618998</v>
      </c>
      <c r="F27" s="183" t="str">
        <f>IF(ISNA(VLOOKUP(B27,Master!AQ$59:BC$106,4,FALSE)),"",VLOOKUP(B27,Master!AQ$59:BC$106,4,FALSE))</f>
        <v>TEACHER-I</v>
      </c>
      <c r="G27" s="184">
        <f>IF(ISNA(VLOOKUP(B27,Master!AQ$59:BC$106,5,FALSE)),"",VLOOKUP(B27,Master!AQ$59:BC$106,5,FALSE))</f>
        <v>11</v>
      </c>
      <c r="H27" s="185">
        <v>49500</v>
      </c>
      <c r="I27" s="179">
        <f>IF(AND(H27=""),"",H27*12)</f>
        <v>594000</v>
      </c>
      <c r="J27" s="181" t="str">
        <f ca="1">IF(AND(H27=""),"",IF(H27&lt;=0,"",(CONCATENATE("01.07.",(YEAR(TODAY())+1)))))</f>
        <v>01.07.2020</v>
      </c>
      <c r="K27" s="179">
        <f>IF(AND(H27=""),"",ROUND(ROUND(H27*3%,0),-2)*IF(G27="FIX PAY",0,1)*8)</f>
        <v>12000</v>
      </c>
      <c r="L27" s="179">
        <f>IF(AND(H27=""),"",I27+K27)</f>
        <v>606000</v>
      </c>
      <c r="M27" s="179">
        <f>IF(AND(H27=""),"",IF(N27="FIX PAY",L27,((IF(N27="FIX PAY",0,AE27*4+H27*8)))))</f>
        <v>588400</v>
      </c>
      <c r="N27" s="268" t="str">
        <f>IF(ISNA(VLOOKUP(B27,Master!AQ$59:BC$106,12,FALSE)),"",VLOOKUP(B27,Master!AQ$59:BC$106,12,FALSE))</f>
        <v>NON GAZETTED - REGULAR</v>
      </c>
      <c r="O27" s="262"/>
      <c r="P27" s="262"/>
      <c r="Q27" s="262"/>
      <c r="R27" s="262">
        <f>IF(AND(H27=0),0,IF(AND(N27=Z$2),$F$78*1*(IF(G27&lt;12,1,0)),0))</f>
        <v>6774</v>
      </c>
      <c r="S27" s="102">
        <f t="shared" si="40"/>
        <v>1</v>
      </c>
      <c r="T27" s="1" t="str">
        <f>IF(ISNA(VLOOKUP(B27,Master!AQ$59:BC$106,10,FALSE)),"",VLOOKUP(B27,Master!AQ$59:BC$106,10,FALSE))</f>
        <v>NO</v>
      </c>
      <c r="U27" s="127"/>
      <c r="V27" s="127"/>
      <c r="W27" s="128" t="str">
        <f>IF(ISNA(VLOOKUP(B27,Master!AQ$59:BC$106,11,FALSE)),"",VLOOKUP(B27,Master!AQ$59:BC$106,11,FALSE))</f>
        <v>NO</v>
      </c>
      <c r="X27" s="128" t="str">
        <f>IF(ISNA(VLOOKUP(B27,Master!AQ$59:BC$106,9,FALSE)),"",VLOOKUP(B27,Master!AQ$59:BC$106,9,FALSE))</f>
        <v>MALE</v>
      </c>
      <c r="Y27" s="129">
        <f t="shared" ref="Y27:Y70" si="55">IF(X27="MALE",1,0)*(IF(F27="JAMADAR",1,0))*(IF(H27&lt;=0,0,1))</f>
        <v>0</v>
      </c>
      <c r="Z27" s="129">
        <f t="shared" ref="Z27:Z70" si="56">IF(X27="FEMALE",1,0)*(IF(F27="JAMADAR",1,0))*(IF(H27&lt;=0,0,1))</f>
        <v>0</v>
      </c>
      <c r="AA27" s="129">
        <f t="shared" ref="AA27:AA70" si="57">IF(X27="MALE",1,0)*(IF(F27="LAB BOY",1,0))*(IF(H27&lt;=0,0,1))</f>
        <v>0</v>
      </c>
      <c r="AB27" s="129">
        <f t="shared" ref="AB27:AB70" si="58">IF(X27="FEMALE",1,0)*(IF(F27="LAB BOY",1,0))*(IF(H27&lt;=0,0,1))</f>
        <v>0</v>
      </c>
      <c r="AC27" s="129">
        <f t="shared" ref="AC27:AC70" si="59">IF(X27="MALE",1,0)*(IF(F27="PEON",1,0))*(IF(H27&lt;=0,0,1))</f>
        <v>0</v>
      </c>
      <c r="AD27" s="129">
        <f t="shared" ref="AD27:AD70" si="60">IF(X27="FEMALE",1,0)*(IF(F27="PEON",1,0))*(IF(H27&lt;=0,0,1))</f>
        <v>0</v>
      </c>
      <c r="AE27" s="130">
        <f>IF(AND(H27=""),"",H27-ROUNDUP(ROUND((H27*3%)-(H27*3%)*2.9%,-2),0))</f>
        <v>48100</v>
      </c>
      <c r="AF27" s="130">
        <f>IF(AND(H27=""),"",$L27*$BP27)</f>
        <v>0</v>
      </c>
      <c r="AG27" s="130">
        <f>IF(AND(H27=""),"",$L27*$BQ27)</f>
        <v>606000</v>
      </c>
      <c r="AH27" s="130">
        <f>IF(AND(H27=""),"",$L27*$BR27)</f>
        <v>0</v>
      </c>
      <c r="AI27" s="130">
        <f>IF(AND(H27=""),"",$L27*$BS27)</f>
        <v>0</v>
      </c>
      <c r="AJ27" s="128">
        <f>IF(AND(H27=""),"",ROUND((AF27+AG27)*$AJ$10,0)*BT27)</f>
        <v>0</v>
      </c>
      <c r="AK27" s="128">
        <v>0</v>
      </c>
      <c r="AL27" s="129">
        <v>0</v>
      </c>
      <c r="AM27" s="128">
        <f>IF(AND(H27=""),"",ROUND((AF27+AG27)*$AM$10,0)*BT27)</f>
        <v>0</v>
      </c>
      <c r="AN27" s="129">
        <f t="shared" ref="AN27:AN70" si="61">$F$78*BQ27*BT27*(IF(H27&lt;=0,0,1))*(IF(G27&lt;=4800,1,0))</f>
        <v>0</v>
      </c>
      <c r="AO27" s="128">
        <f t="shared" si="48"/>
        <v>27720</v>
      </c>
      <c r="AP27" s="128">
        <f t="shared" ref="AP27:AP70" si="62">IF(F27="CLERK GRADE I",1,IF(F27="CLERK GRADE II",1,0))*75*12*BT27*(IF(H27&lt;=0,0,1))*BU27</f>
        <v>0</v>
      </c>
      <c r="AQ27" s="128">
        <f t="shared" ref="AQ27:AQ70" si="63">IF(AND(H27=""),0,(IF(F27="ASSISTANT",12,IF(F27="CLERK GRADE I",12,IF(F27="CLERK GRADE II",12,IF(F27="FIELDMAN &amp; FIELD REC",12,IF(F27="LAB BOY",12,IF(F27="JAMADAR",12,IF(F27="PEON",12,10))))))))*(MINA(ROUND(H27*6%,0),600))*(IF($T27="yes",1,0)))</f>
        <v>0</v>
      </c>
      <c r="AR27" s="128">
        <f t="shared" ref="AR27:AR70" si="64">(IF(F27="LAB BOY",150,IF(F27="JAMADAR",150,IF(F27="PEON",150,0))))*12*BT27*(IF(H27&lt;=0,0,1))</f>
        <v>0</v>
      </c>
      <c r="AS27" s="130">
        <f t="shared" ref="AS27:AS70" si="65">IF(AND(F27=""),0,SUM(AJ27:AR27)+AF27+AG27)</f>
        <v>633720</v>
      </c>
      <c r="AT27" s="130">
        <f t="shared" ref="AT27:AT70" si="66">IF(AND(F27=""),0,AS27)</f>
        <v>633720</v>
      </c>
      <c r="AU27" s="128"/>
      <c r="AV27" s="128"/>
      <c r="AW27" s="130">
        <f>AT27+AU27+AV27</f>
        <v>633720</v>
      </c>
      <c r="AX27" s="130">
        <f t="shared" ref="AX27:AX70" si="67">IF(AND(F27=""),0,M27*BP27)</f>
        <v>0</v>
      </c>
      <c r="AY27" s="130">
        <f t="shared" ref="AY27:AY70" si="68">IF(AND(F27=""),0,M27*BQ27)</f>
        <v>588400</v>
      </c>
      <c r="AZ27" s="130">
        <f t="shared" ref="AZ27:AZ70" si="69">IF(AND(F27=""),0,M27*BR27)</f>
        <v>0</v>
      </c>
      <c r="BA27" s="130">
        <f t="shared" ref="BA27:BA70" si="70">IF(AND(F27=""),0,M27*BS27)</f>
        <v>0</v>
      </c>
      <c r="BB27" s="128">
        <f>ROUND((AX27+AY27)*$BB$10,0)*BT27</f>
        <v>0</v>
      </c>
      <c r="BC27" s="128">
        <f t="shared" ref="BC27:BC70" si="71">IF(AND(F27=""),0,ROUND((IF(N27="FIX PAY",0,AE27))*$BC$10*2,0)*BT27)</f>
        <v>0</v>
      </c>
      <c r="BD27" s="129">
        <v>0</v>
      </c>
      <c r="BE27" s="128">
        <f>ROUND((AX27+AY27)*$BE$10,0)*BT27</f>
        <v>0</v>
      </c>
      <c r="BF27" s="129">
        <f t="shared" ref="BF27:BF70" si="72">3387*2*BQ27*BT27*(IF(H27&lt;=0,0,1))*(IF(G27&lt;=4800,1,0))</f>
        <v>0</v>
      </c>
      <c r="BG27" s="128">
        <f t="shared" si="49"/>
        <v>26936</v>
      </c>
      <c r="BH27" s="128">
        <f t="shared" ref="BH27:BH70" si="73">IF(F27="CLERK GRADE I",1,IF(F27="CLERK GRADE II",1,0))*75*12*BT27*(IF(H27&lt;=0,0,1))*BU27</f>
        <v>0</v>
      </c>
      <c r="BI27" s="128">
        <f t="shared" ref="BI27:BI70" si="74">IF(AND(F27=""),0,(IF(F27="ASSISTANT",12,IF(F27="CLERK GRADE I",12,IF(F27="CLERK GRADE II",12,IF(F27="FIELDMAN &amp; FIELD REC",12,IF(F27="LAB BOY",12,IF(F27="JAMADAR",12,IF(F27="PEON",12,10))))))))*(MINA(ROUND(AE27*6%,0),600))*(IF($T27="yes",1,)))</f>
        <v>0</v>
      </c>
      <c r="BJ27" s="128">
        <f t="shared" ref="BJ27:BJ70" si="75">(IF(F27="LAB BOY",150,IF(F27="JAMADAR",150,IF(F27="PEON",150,0))))*12*BT27*(IF(H27&lt;=0,0,1))</f>
        <v>0</v>
      </c>
      <c r="BK27" s="130">
        <f>SUM(BB27:BJ27)+AX27+AY27</f>
        <v>615336</v>
      </c>
      <c r="BL27" s="130">
        <f>BK27</f>
        <v>615336</v>
      </c>
      <c r="BM27" s="128"/>
      <c r="BN27" s="128"/>
      <c r="BO27" s="130">
        <f>BL27+BM27+BN27</f>
        <v>615336</v>
      </c>
      <c r="BP27" s="124">
        <f t="shared" ref="BP27:BP70" si="76">(IF(F27="PRINCIPAL",1,IF(F27="H M",1,IF(F27="AGRICULTURE INST",1,IF(F27="TEACHER-1ST",1,IF(F27="PTI  I  (13)",1,IF(F27="AGRICULTURE TEACH",1,IF(F27="INSTRUCTOR",1,0))))))))+(IF(F27="JR TEACHER",1,IF(F27="LIBRARIAN I",1,0)))*(IF(N27="FIX PAY",0,1))</f>
        <v>0</v>
      </c>
      <c r="BQ27" s="124">
        <f t="shared" ref="BQ27:BQ70" si="77">IF(BP27&lt;=0,1,0)*(IF(N27="FIX PAY",0,1))</f>
        <v>1</v>
      </c>
      <c r="BR27" s="124">
        <f t="shared" ref="BR27:BR70" si="78">(IF(F27="PRINCIPAL (16)",1,IF(F27="V P (14)",1,IF(F27="H M (14)",1,IF(F27="AGRICULTURE INST (13)",1,IF(F27="TEACHER-1ST (13)",1,IF(F27="PTI  I  (13)",1,IF(F27="AGRICULTURE TEACH (13)",1,IF(F27="INSTRUCTOR (13)",1,0))))))))+(IF(F27="JR TEACHER (13)",1,IF(F27="LIBRARIAN I (13)",1,0))))*(IF(N27="FIX PAY",1,0))</f>
        <v>0</v>
      </c>
      <c r="BS27" s="124">
        <f t="shared" ref="BS27:BS70" si="79">IF(BR27&lt;=0,1,0)*(IF(N27="FIX PAY",1,0))</f>
        <v>0</v>
      </c>
      <c r="BT27" s="124">
        <f t="shared" si="50"/>
        <v>0</v>
      </c>
      <c r="BU27" s="124">
        <f>IF(W27="No",0,1)</f>
        <v>0</v>
      </c>
      <c r="BV27" s="110">
        <f t="shared" ref="BV27:BV70" si="80">IF((ROUND((SUMPRODUCT(MID(0&amp;D27,LARGE(INDEX(ISNUMBER(--MID(D27,ROW($1:$25),1))* ROW($1:$25),0),ROW($1:$25))+1,1)*10^ROW($1:$25)/10)),-8)/100000000)&gt;=2004,1,0)</f>
        <v>0</v>
      </c>
      <c r="BW27" s="131">
        <f>IF(H27&lt;=0,0,1)</f>
        <v>1</v>
      </c>
      <c r="BX27" s="110">
        <f t="shared" si="52"/>
        <v>0</v>
      </c>
      <c r="BY27" s="110">
        <f t="shared" si="53"/>
        <v>0</v>
      </c>
      <c r="BZ27" s="99">
        <f t="shared" ref="BZ27:BZ70" si="81">IF(AND(D27=""),"",IF(AND(D27&lt;=0),"",IF((ROUND((SUMPRODUCT(MID(0&amp;D27,LARGE(INDEX(ISNUMBER(--MID(D27,ROW($1:$70),1))* ROW($1:$70),0),ROW($1:$70))+1,1)*10^ROW($1:$70)/10)),-8)/100000000)&lt;2004,1,0)))</f>
        <v>1</v>
      </c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</row>
    <row r="28" spans="1:104" s="126" customFormat="1" ht="18.75">
      <c r="A28" s="179">
        <v>2202</v>
      </c>
      <c r="B28" s="179">
        <v>2</v>
      </c>
      <c r="C28" s="180" t="str">
        <f>IF(ISNA(VLOOKUP(B28,Master!AQ$59:BC$106,3,FALSE)),"",VLOOKUP(B28,Master!AQ$59:BC$106,3,FALSE))</f>
        <v>egsUnz iVsy</v>
      </c>
      <c r="D28" s="181" t="str">
        <f>IF(ISNA(VLOOKUP(B28,Master!AQ$59:BC$106,7,FALSE)),"",VLOOKUP(B28,Master!AQ$59:BC$106,7,FALSE))</f>
        <v>RJPA198429005862</v>
      </c>
      <c r="E28" s="182">
        <f>IF(ISNA(VLOOKUP(B28,Master!AQ$59:BC$106,8,FALSE)),"",VLOOKUP(B28,Master!AQ$59:BC$106,8,FALSE))</f>
        <v>478236</v>
      </c>
      <c r="F28" s="183" t="str">
        <f>IF(ISNA(VLOOKUP(B28,Master!AQ$59:BC$106,4,FALSE)),"",VLOOKUP(B28,Master!AQ$59:BC$106,4,FALSE))</f>
        <v>TEACHER-II</v>
      </c>
      <c r="G28" s="184">
        <f>IF(ISNA(VLOOKUP(B28,Master!AQ$59:BC$106,5,FALSE)),"",VLOOKUP(B28,Master!AQ$59:BC$106,5,FALSE))</f>
        <v>11</v>
      </c>
      <c r="H28" s="185">
        <f>IF(ISNA(VLOOKUP(B28,Master!AQ$59:BC$106,6,FALSE)),"",VLOOKUP(B28,Master!AQ$59:BC$106,6,FALSE))</f>
        <v>41300</v>
      </c>
      <c r="I28" s="179">
        <f t="shared" ref="I28:I70" si="82">IF(AND(H28=""),"",H28*12)</f>
        <v>495600</v>
      </c>
      <c r="J28" s="181" t="str">
        <f t="shared" ref="J28:J70" ca="1" si="83">IF(AND(H28=""),"",IF(H28&lt;=0,"",(CONCATENATE("01.07.",(YEAR(TODAY())+1)))))</f>
        <v>01.07.2020</v>
      </c>
      <c r="K28" s="179">
        <f t="shared" ref="K28:K70" si="84">IF(AND(H28=""),"",ROUND(ROUND(H28*3%,0),-2)*IF(G28="FIX PAY",0,1)*8)</f>
        <v>9600</v>
      </c>
      <c r="L28" s="179">
        <f t="shared" ref="L28:L70" si="85">IF(AND(H28=""),"",I28+K28)</f>
        <v>505200</v>
      </c>
      <c r="M28" s="179">
        <f t="shared" ref="M28:M70" si="86">IF(AND(H28=""),"",IF(N28="FIX PAY",L28,((IF(N28="FIX PAY",0,AE28*4+H28*8)))))</f>
        <v>490800</v>
      </c>
      <c r="N28" s="268" t="str">
        <f>IF(ISNA(VLOOKUP(B28,Master!AQ$59:BC$106,12,FALSE)),"",VLOOKUP(B28,Master!AQ$59:BC$106,12,FALSE))</f>
        <v>NON GAZETTED - REGULAR</v>
      </c>
      <c r="O28" s="262"/>
      <c r="P28" s="262"/>
      <c r="Q28" s="262"/>
      <c r="R28" s="262">
        <f t="shared" ref="R28:R70" si="87">IF(AND(H28=0),0,IF(AND(N28=Z$2),$F$78*1*(IF(G28&lt;12,1,0)),0))</f>
        <v>6774</v>
      </c>
      <c r="S28" s="102">
        <f t="shared" si="40"/>
        <v>1</v>
      </c>
      <c r="T28" s="1" t="str">
        <f>IF(ISNA(VLOOKUP(B28,Master!AQ$59:BC$106,10,FALSE)),"",VLOOKUP(B28,Master!AQ$59:BC$106,10,FALSE))</f>
        <v>NO</v>
      </c>
      <c r="U28" s="127"/>
      <c r="V28" s="127"/>
      <c r="W28" s="128" t="str">
        <f>IF(ISNA(VLOOKUP(B28,Master!AQ$59:BC$106,11,FALSE)),"",VLOOKUP(B28,Master!AQ$59:BC$106,11,FALSE))</f>
        <v>NO</v>
      </c>
      <c r="X28" s="128" t="str">
        <f>IF(ISNA(VLOOKUP(B28,Master!AQ$59:BC$106,9,FALSE)),"",VLOOKUP(B28,Master!AQ$59:BC$106,9,FALSE))</f>
        <v>MALE</v>
      </c>
      <c r="Y28" s="129">
        <f t="shared" si="55"/>
        <v>0</v>
      </c>
      <c r="Z28" s="129">
        <f t="shared" si="56"/>
        <v>0</v>
      </c>
      <c r="AA28" s="129">
        <f t="shared" si="57"/>
        <v>0</v>
      </c>
      <c r="AB28" s="129">
        <f t="shared" si="58"/>
        <v>0</v>
      </c>
      <c r="AC28" s="129">
        <f t="shared" si="59"/>
        <v>0</v>
      </c>
      <c r="AD28" s="129">
        <f t="shared" si="60"/>
        <v>0</v>
      </c>
      <c r="AE28" s="130">
        <f t="shared" ref="AE28:AE69" si="88">IF(AND(H28=""),"",H28-ROUNDUP(ROUND((H28*3%)-(H28*3%)*2.9%,-2),0))</f>
        <v>40100</v>
      </c>
      <c r="AF28" s="130">
        <f t="shared" ref="AF28:AF70" si="89">IF(AND(H28=""),"",$L28*$BP28)</f>
        <v>0</v>
      </c>
      <c r="AG28" s="130">
        <f t="shared" ref="AG28:AG70" si="90">IF(AND(H28=""),"",$L28*$BQ28)</f>
        <v>505200</v>
      </c>
      <c r="AH28" s="130">
        <f t="shared" ref="AH28:AH70" si="91">IF(AND(H28=""),"",$L28*$BR28)</f>
        <v>0</v>
      </c>
      <c r="AI28" s="130">
        <f t="shared" ref="AI28:AI70" si="92">IF(AND(H28=""),"",$L28*$BS28)</f>
        <v>0</v>
      </c>
      <c r="AJ28" s="128">
        <f t="shared" ref="AJ28:AJ70" si="93">IF(AND(H28=""),"",ROUND((AF28+AG28)*$AJ$10,0)*BT28)</f>
        <v>0</v>
      </c>
      <c r="AK28" s="128">
        <v>0</v>
      </c>
      <c r="AL28" s="129">
        <v>0</v>
      </c>
      <c r="AM28" s="128">
        <f t="shared" ref="AM28:AM70" si="94">IF(AND(H28=""),"",ROUND((AF28+AG28)*$AM$10,0)*BT28)</f>
        <v>0</v>
      </c>
      <c r="AN28" s="129">
        <f t="shared" si="61"/>
        <v>0</v>
      </c>
      <c r="AO28" s="128">
        <f t="shared" si="48"/>
        <v>23128</v>
      </c>
      <c r="AP28" s="128">
        <f t="shared" si="62"/>
        <v>0</v>
      </c>
      <c r="AQ28" s="128">
        <f t="shared" si="63"/>
        <v>0</v>
      </c>
      <c r="AR28" s="128">
        <f t="shared" si="64"/>
        <v>0</v>
      </c>
      <c r="AS28" s="130">
        <f t="shared" si="65"/>
        <v>528328</v>
      </c>
      <c r="AT28" s="130">
        <f t="shared" si="66"/>
        <v>528328</v>
      </c>
      <c r="AU28" s="128"/>
      <c r="AV28" s="128"/>
      <c r="AW28" s="130">
        <f t="shared" ref="AW28:AW70" si="95">AT28+AU28+AV28</f>
        <v>528328</v>
      </c>
      <c r="AX28" s="130">
        <f t="shared" si="67"/>
        <v>0</v>
      </c>
      <c r="AY28" s="130">
        <f t="shared" si="68"/>
        <v>490800</v>
      </c>
      <c r="AZ28" s="130">
        <f t="shared" si="69"/>
        <v>0</v>
      </c>
      <c r="BA28" s="130">
        <f t="shared" si="70"/>
        <v>0</v>
      </c>
      <c r="BB28" s="128">
        <f t="shared" ref="BB28:BB70" si="96">ROUND((AX28+AY28)*$BB$10,0)*BT28</f>
        <v>0</v>
      </c>
      <c r="BC28" s="128">
        <f t="shared" si="71"/>
        <v>0</v>
      </c>
      <c r="BD28" s="129">
        <v>0</v>
      </c>
      <c r="BE28" s="128">
        <f t="shared" ref="BE28:BE70" si="97">ROUND((AX28+AY28)*$BE$10,0)*BT28</f>
        <v>0</v>
      </c>
      <c r="BF28" s="129">
        <f t="shared" si="72"/>
        <v>0</v>
      </c>
      <c r="BG28" s="128">
        <f t="shared" si="49"/>
        <v>22456</v>
      </c>
      <c r="BH28" s="128">
        <f t="shared" si="73"/>
        <v>0</v>
      </c>
      <c r="BI28" s="128">
        <f t="shared" si="74"/>
        <v>0</v>
      </c>
      <c r="BJ28" s="128">
        <f t="shared" si="75"/>
        <v>0</v>
      </c>
      <c r="BK28" s="130">
        <f t="shared" ref="BK28:BK70" si="98">SUM(BB28:BJ28)+AX28+AY28</f>
        <v>513256</v>
      </c>
      <c r="BL28" s="130">
        <f t="shared" ref="BL28:BL70" si="99">BK28</f>
        <v>513256</v>
      </c>
      <c r="BM28" s="128"/>
      <c r="BN28" s="128"/>
      <c r="BO28" s="130">
        <f t="shared" ref="BO28:BO70" si="100">BL28+BM28+BN28</f>
        <v>513256</v>
      </c>
      <c r="BP28" s="124">
        <f t="shared" si="76"/>
        <v>0</v>
      </c>
      <c r="BQ28" s="124">
        <f t="shared" si="77"/>
        <v>1</v>
      </c>
      <c r="BR28" s="124">
        <f t="shared" si="78"/>
        <v>0</v>
      </c>
      <c r="BS28" s="124">
        <f t="shared" si="79"/>
        <v>0</v>
      </c>
      <c r="BT28" s="124">
        <f t="shared" si="50"/>
        <v>0</v>
      </c>
      <c r="BU28" s="124">
        <f t="shared" ref="BU28:BU70" si="101">IF(W28="No",0,1)</f>
        <v>0</v>
      </c>
      <c r="BV28" s="110">
        <f t="shared" si="80"/>
        <v>0</v>
      </c>
      <c r="BW28" s="131">
        <f t="shared" ref="BW28:BW70" si="102">IF(H28&lt;=0,0,1)</f>
        <v>1</v>
      </c>
      <c r="BX28" s="110">
        <f t="shared" si="52"/>
        <v>0</v>
      </c>
      <c r="BY28" s="110">
        <f t="shared" si="53"/>
        <v>0</v>
      </c>
      <c r="BZ28" s="99">
        <f t="shared" si="81"/>
        <v>1</v>
      </c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</row>
    <row r="29" spans="1:104" s="126" customFormat="1" ht="18.75">
      <c r="A29" s="179">
        <v>2202</v>
      </c>
      <c r="B29" s="179">
        <v>3</v>
      </c>
      <c r="C29" s="180" t="str">
        <f>IF(ISNA(VLOOKUP(B29,Master!AQ$59:BC$106,3,FALSE)),"",VLOOKUP(B29,Master!AQ$59:BC$106,3,FALSE))</f>
        <v>ekaxhyky jkaxh</v>
      </c>
      <c r="D29" s="181" t="str">
        <f>IF(ISNA(VLOOKUP(B29,Master!AQ$59:BC$106,7,FALSE)),"",VLOOKUP(B29,Master!AQ$59:BC$106,7,FALSE))</f>
        <v>RJJS200520014380</v>
      </c>
      <c r="E29" s="182">
        <f>IF(ISNA(VLOOKUP(B29,Master!AQ$59:BC$106,8,FALSE)),"",VLOOKUP(B29,Master!AQ$59:BC$106,8,FALSE))</f>
        <v>110021685029</v>
      </c>
      <c r="F29" s="183" t="str">
        <f>IF(ISNA(VLOOKUP(B29,Master!AQ$59:BC$106,4,FALSE)),"",VLOOKUP(B29,Master!AQ$59:BC$106,4,FALSE))</f>
        <v>TEACHER-II</v>
      </c>
      <c r="G29" s="184">
        <f>IF(ISNA(VLOOKUP(B29,Master!AQ$59:BC$106,5,FALSE)),"",VLOOKUP(B29,Master!AQ$59:BC$106,5,FALSE))</f>
        <v>12</v>
      </c>
      <c r="H29" s="185">
        <v>59600</v>
      </c>
      <c r="I29" s="179">
        <f t="shared" si="82"/>
        <v>715200</v>
      </c>
      <c r="J29" s="181" t="str">
        <f t="shared" ca="1" si="83"/>
        <v>01.07.2020</v>
      </c>
      <c r="K29" s="179">
        <f t="shared" si="84"/>
        <v>14400</v>
      </c>
      <c r="L29" s="179">
        <f t="shared" si="85"/>
        <v>729600</v>
      </c>
      <c r="M29" s="179">
        <f t="shared" si="86"/>
        <v>708400</v>
      </c>
      <c r="N29" s="268" t="str">
        <f>IF(ISNA(VLOOKUP(B29,Master!AQ$59:BC$106,12,FALSE)),"",VLOOKUP(B29,Master!AQ$59:BC$106,12,FALSE))</f>
        <v>NON GAZETTED - REGULAR</v>
      </c>
      <c r="O29" s="262"/>
      <c r="P29" s="262"/>
      <c r="Q29" s="262"/>
      <c r="R29" s="262">
        <f t="shared" si="87"/>
        <v>0</v>
      </c>
      <c r="S29" s="102">
        <f t="shared" si="40"/>
        <v>1</v>
      </c>
      <c r="T29" s="1" t="str">
        <f>IF(ISNA(VLOOKUP(B29,Master!AQ$59:BC$106,10,FALSE)),"",VLOOKUP(B29,Master!AQ$59:BC$106,10,FALSE))</f>
        <v>NO</v>
      </c>
      <c r="U29" s="127"/>
      <c r="V29" s="127"/>
      <c r="W29" s="128" t="str">
        <f>IF(ISNA(VLOOKUP(B29,Master!AQ$59:BC$106,11,FALSE)),"",VLOOKUP(B29,Master!AQ$59:BC$106,11,FALSE))</f>
        <v>NO</v>
      </c>
      <c r="X29" s="128" t="str">
        <f>IF(ISNA(VLOOKUP(B29,Master!AQ$59:BC$106,9,FALSE)),"",VLOOKUP(B29,Master!AQ$59:BC$106,9,FALSE))</f>
        <v>MALE</v>
      </c>
      <c r="Y29" s="129">
        <f t="shared" si="55"/>
        <v>0</v>
      </c>
      <c r="Z29" s="129">
        <f t="shared" si="56"/>
        <v>0</v>
      </c>
      <c r="AA29" s="129">
        <f t="shared" si="57"/>
        <v>0</v>
      </c>
      <c r="AB29" s="129">
        <f t="shared" si="58"/>
        <v>0</v>
      </c>
      <c r="AC29" s="129">
        <f t="shared" si="59"/>
        <v>0</v>
      </c>
      <c r="AD29" s="129">
        <f t="shared" si="60"/>
        <v>0</v>
      </c>
      <c r="AE29" s="130">
        <f t="shared" si="88"/>
        <v>57900</v>
      </c>
      <c r="AF29" s="130">
        <f t="shared" si="89"/>
        <v>0</v>
      </c>
      <c r="AG29" s="130">
        <f t="shared" si="90"/>
        <v>729600</v>
      </c>
      <c r="AH29" s="130">
        <f t="shared" si="91"/>
        <v>0</v>
      </c>
      <c r="AI29" s="130">
        <f t="shared" si="92"/>
        <v>0</v>
      </c>
      <c r="AJ29" s="128">
        <f t="shared" si="93"/>
        <v>0</v>
      </c>
      <c r="AK29" s="128">
        <v>0</v>
      </c>
      <c r="AL29" s="129">
        <v>0</v>
      </c>
      <c r="AM29" s="128">
        <f t="shared" si="94"/>
        <v>0</v>
      </c>
      <c r="AN29" s="129">
        <f t="shared" si="61"/>
        <v>0</v>
      </c>
      <c r="AO29" s="128">
        <f t="shared" si="48"/>
        <v>33376</v>
      </c>
      <c r="AP29" s="128">
        <f t="shared" si="62"/>
        <v>0</v>
      </c>
      <c r="AQ29" s="128">
        <f t="shared" si="63"/>
        <v>0</v>
      </c>
      <c r="AR29" s="128">
        <f t="shared" si="64"/>
        <v>0</v>
      </c>
      <c r="AS29" s="130">
        <f t="shared" si="65"/>
        <v>762976</v>
      </c>
      <c r="AT29" s="130">
        <f t="shared" si="66"/>
        <v>762976</v>
      </c>
      <c r="AU29" s="128"/>
      <c r="AV29" s="128"/>
      <c r="AW29" s="130">
        <f t="shared" si="95"/>
        <v>762976</v>
      </c>
      <c r="AX29" s="130">
        <f t="shared" si="67"/>
        <v>0</v>
      </c>
      <c r="AY29" s="130">
        <f t="shared" si="68"/>
        <v>708400</v>
      </c>
      <c r="AZ29" s="130">
        <f t="shared" si="69"/>
        <v>0</v>
      </c>
      <c r="BA29" s="130">
        <f t="shared" si="70"/>
        <v>0</v>
      </c>
      <c r="BB29" s="128">
        <f t="shared" si="96"/>
        <v>0</v>
      </c>
      <c r="BC29" s="128">
        <f t="shared" si="71"/>
        <v>0</v>
      </c>
      <c r="BD29" s="129">
        <v>0</v>
      </c>
      <c r="BE29" s="128">
        <f t="shared" si="97"/>
        <v>0</v>
      </c>
      <c r="BF29" s="129">
        <f t="shared" si="72"/>
        <v>0</v>
      </c>
      <c r="BG29" s="128">
        <f t="shared" si="49"/>
        <v>32424</v>
      </c>
      <c r="BH29" s="128">
        <f t="shared" si="73"/>
        <v>0</v>
      </c>
      <c r="BI29" s="128">
        <f t="shared" si="74"/>
        <v>0</v>
      </c>
      <c r="BJ29" s="128">
        <f t="shared" si="75"/>
        <v>0</v>
      </c>
      <c r="BK29" s="130">
        <f t="shared" si="98"/>
        <v>740824</v>
      </c>
      <c r="BL29" s="130">
        <f t="shared" si="99"/>
        <v>740824</v>
      </c>
      <c r="BM29" s="128"/>
      <c r="BN29" s="128"/>
      <c r="BO29" s="130">
        <f t="shared" si="100"/>
        <v>740824</v>
      </c>
      <c r="BP29" s="124">
        <f t="shared" si="76"/>
        <v>0</v>
      </c>
      <c r="BQ29" s="124">
        <f t="shared" si="77"/>
        <v>1</v>
      </c>
      <c r="BR29" s="124">
        <f t="shared" si="78"/>
        <v>0</v>
      </c>
      <c r="BS29" s="124">
        <f t="shared" si="79"/>
        <v>0</v>
      </c>
      <c r="BT29" s="124">
        <f t="shared" si="50"/>
        <v>0</v>
      </c>
      <c r="BU29" s="124">
        <f t="shared" si="101"/>
        <v>0</v>
      </c>
      <c r="BV29" s="110">
        <f t="shared" si="80"/>
        <v>1</v>
      </c>
      <c r="BW29" s="131">
        <f t="shared" si="102"/>
        <v>1</v>
      </c>
      <c r="BX29" s="110">
        <f t="shared" si="52"/>
        <v>0</v>
      </c>
      <c r="BY29" s="110">
        <f t="shared" si="53"/>
        <v>0</v>
      </c>
      <c r="BZ29" s="99">
        <f t="shared" si="81"/>
        <v>0</v>
      </c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</row>
    <row r="30" spans="1:104" s="126" customFormat="1" ht="18.75">
      <c r="A30" s="179">
        <v>2202</v>
      </c>
      <c r="B30" s="179">
        <v>4</v>
      </c>
      <c r="C30" s="180" t="str">
        <f>IF(ISNA(VLOOKUP(B30,Master!AQ$59:BC$106,3,FALSE)),"",VLOOKUP(B30,Master!AQ$59:BC$106,3,FALSE))</f>
        <v>lqjs'k dqekj vknjk</v>
      </c>
      <c r="D30" s="181" t="str">
        <f>IF(ISNA(VLOOKUP(B30,Master!AQ$59:BC$106,7,FALSE)),"",VLOOKUP(B30,Master!AQ$59:BC$106,7,FALSE))</f>
        <v>RJPA198729017770</v>
      </c>
      <c r="E30" s="182">
        <f>IF(ISNA(VLOOKUP(B30,Master!AQ$59:BC$106,8,FALSE)),"",VLOOKUP(B30,Master!AQ$59:BC$106,8,FALSE))</f>
        <v>599678</v>
      </c>
      <c r="F30" s="183" t="str">
        <f>IF(ISNA(VLOOKUP(B30,Master!AQ$59:BC$106,4,FALSE)),"",VLOOKUP(B30,Master!AQ$59:BC$106,4,FALSE))</f>
        <v>TEACHER-III</v>
      </c>
      <c r="G30" s="184">
        <f>IF(ISNA(VLOOKUP(B30,Master!AQ$59:BC$106,5,FALSE)),"",VLOOKUP(B30,Master!AQ$59:BC$106,5,FALSE))</f>
        <v>10</v>
      </c>
      <c r="H30" s="185">
        <f>IF(ISNA(VLOOKUP(B30,Master!AQ$59:BC$106,6,FALSE)),"",VLOOKUP(B30,Master!AQ$59:BC$106,6,FALSE))</f>
        <v>50800</v>
      </c>
      <c r="I30" s="179">
        <f t="shared" si="82"/>
        <v>609600</v>
      </c>
      <c r="J30" s="181" t="str">
        <f t="shared" ca="1" si="83"/>
        <v>01.07.2020</v>
      </c>
      <c r="K30" s="179">
        <f t="shared" si="84"/>
        <v>12000</v>
      </c>
      <c r="L30" s="179">
        <f t="shared" si="85"/>
        <v>621600</v>
      </c>
      <c r="M30" s="179">
        <f t="shared" si="86"/>
        <v>603600</v>
      </c>
      <c r="N30" s="268" t="str">
        <f>IF(ISNA(VLOOKUP(B30,Master!AQ$59:BC$106,12,FALSE)),"",VLOOKUP(B30,Master!AQ$59:BC$106,12,FALSE))</f>
        <v>NON GAZETTED - REGULAR</v>
      </c>
      <c r="O30" s="262"/>
      <c r="P30" s="262"/>
      <c r="Q30" s="262"/>
      <c r="R30" s="262">
        <f t="shared" si="87"/>
        <v>6774</v>
      </c>
      <c r="S30" s="102">
        <f t="shared" si="40"/>
        <v>1</v>
      </c>
      <c r="T30" s="1" t="str">
        <f>IF(ISNA(VLOOKUP(B30,Master!AQ$59:BC$106,10,FALSE)),"",VLOOKUP(B30,Master!AQ$59:BC$106,10,FALSE))</f>
        <v>NO</v>
      </c>
      <c r="U30" s="127"/>
      <c r="V30" s="127"/>
      <c r="W30" s="128" t="str">
        <f>IF(ISNA(VLOOKUP(B30,Master!AQ$59:BC$106,11,FALSE)),"",VLOOKUP(B30,Master!AQ$59:BC$106,11,FALSE))</f>
        <v>NO</v>
      </c>
      <c r="X30" s="128" t="str">
        <f>IF(ISNA(VLOOKUP(B30,Master!AQ$59:BC$106,9,FALSE)),"",VLOOKUP(B30,Master!AQ$59:BC$106,9,FALSE))</f>
        <v>MALE</v>
      </c>
      <c r="Y30" s="129">
        <f t="shared" si="55"/>
        <v>0</v>
      </c>
      <c r="Z30" s="129">
        <f t="shared" si="56"/>
        <v>0</v>
      </c>
      <c r="AA30" s="129">
        <f t="shared" si="57"/>
        <v>0</v>
      </c>
      <c r="AB30" s="129">
        <f t="shared" si="58"/>
        <v>0</v>
      </c>
      <c r="AC30" s="129">
        <f t="shared" si="59"/>
        <v>0</v>
      </c>
      <c r="AD30" s="129">
        <f t="shared" si="60"/>
        <v>0</v>
      </c>
      <c r="AE30" s="130">
        <f t="shared" si="88"/>
        <v>49300</v>
      </c>
      <c r="AF30" s="130">
        <f t="shared" si="89"/>
        <v>0</v>
      </c>
      <c r="AG30" s="130">
        <f t="shared" si="90"/>
        <v>621600</v>
      </c>
      <c r="AH30" s="130">
        <f t="shared" si="91"/>
        <v>0</v>
      </c>
      <c r="AI30" s="130">
        <f t="shared" si="92"/>
        <v>0</v>
      </c>
      <c r="AJ30" s="128">
        <f t="shared" si="93"/>
        <v>0</v>
      </c>
      <c r="AK30" s="128">
        <v>0</v>
      </c>
      <c r="AL30" s="129">
        <v>0</v>
      </c>
      <c r="AM30" s="128">
        <f t="shared" si="94"/>
        <v>0</v>
      </c>
      <c r="AN30" s="129">
        <f t="shared" si="61"/>
        <v>0</v>
      </c>
      <c r="AO30" s="128">
        <f t="shared" si="48"/>
        <v>28448</v>
      </c>
      <c r="AP30" s="128">
        <f t="shared" si="62"/>
        <v>0</v>
      </c>
      <c r="AQ30" s="128">
        <f t="shared" si="63"/>
        <v>0</v>
      </c>
      <c r="AR30" s="128">
        <f t="shared" si="64"/>
        <v>0</v>
      </c>
      <c r="AS30" s="130">
        <f t="shared" si="65"/>
        <v>650048</v>
      </c>
      <c r="AT30" s="130">
        <f t="shared" si="66"/>
        <v>650048</v>
      </c>
      <c r="AU30" s="128"/>
      <c r="AV30" s="128"/>
      <c r="AW30" s="130">
        <f t="shared" si="95"/>
        <v>650048</v>
      </c>
      <c r="AX30" s="130">
        <f t="shared" si="67"/>
        <v>0</v>
      </c>
      <c r="AY30" s="130">
        <f t="shared" si="68"/>
        <v>603600</v>
      </c>
      <c r="AZ30" s="130">
        <f t="shared" si="69"/>
        <v>0</v>
      </c>
      <c r="BA30" s="130">
        <f t="shared" si="70"/>
        <v>0</v>
      </c>
      <c r="BB30" s="128">
        <f t="shared" si="96"/>
        <v>0</v>
      </c>
      <c r="BC30" s="128">
        <f t="shared" si="71"/>
        <v>0</v>
      </c>
      <c r="BD30" s="129">
        <v>0</v>
      </c>
      <c r="BE30" s="128">
        <f t="shared" si="97"/>
        <v>0</v>
      </c>
      <c r="BF30" s="129">
        <f t="shared" si="72"/>
        <v>0</v>
      </c>
      <c r="BG30" s="128">
        <f t="shared" si="49"/>
        <v>27608</v>
      </c>
      <c r="BH30" s="128">
        <f t="shared" si="73"/>
        <v>0</v>
      </c>
      <c r="BI30" s="128">
        <f t="shared" si="74"/>
        <v>0</v>
      </c>
      <c r="BJ30" s="128">
        <f t="shared" si="75"/>
        <v>0</v>
      </c>
      <c r="BK30" s="130">
        <f t="shared" si="98"/>
        <v>631208</v>
      </c>
      <c r="BL30" s="130">
        <f t="shared" si="99"/>
        <v>631208</v>
      </c>
      <c r="BM30" s="128"/>
      <c r="BN30" s="128"/>
      <c r="BO30" s="130">
        <f t="shared" si="100"/>
        <v>631208</v>
      </c>
      <c r="BP30" s="124">
        <f t="shared" si="76"/>
        <v>0</v>
      </c>
      <c r="BQ30" s="124">
        <f t="shared" si="77"/>
        <v>1</v>
      </c>
      <c r="BR30" s="124">
        <f t="shared" si="78"/>
        <v>0</v>
      </c>
      <c r="BS30" s="124">
        <f t="shared" si="79"/>
        <v>0</v>
      </c>
      <c r="BT30" s="124">
        <f t="shared" si="50"/>
        <v>0</v>
      </c>
      <c r="BU30" s="124">
        <f t="shared" si="101"/>
        <v>0</v>
      </c>
      <c r="BV30" s="110">
        <f t="shared" si="80"/>
        <v>0</v>
      </c>
      <c r="BW30" s="131">
        <f t="shared" si="102"/>
        <v>1</v>
      </c>
      <c r="BX30" s="110">
        <f t="shared" si="52"/>
        <v>0</v>
      </c>
      <c r="BY30" s="110">
        <f t="shared" si="53"/>
        <v>0</v>
      </c>
      <c r="BZ30" s="99">
        <f t="shared" si="81"/>
        <v>1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</row>
    <row r="31" spans="1:104" s="126" customFormat="1" ht="18.75">
      <c r="A31" s="179">
        <v>2202</v>
      </c>
      <c r="B31" s="179">
        <v>5</v>
      </c>
      <c r="C31" s="180" t="str">
        <f>IF(ISNA(VLOOKUP(B31,Master!AQ$59:BC$106,3,FALSE)),"",VLOOKUP(B31,Master!AQ$59:BC$106,3,FALSE))</f>
        <v>vtquflag</v>
      </c>
      <c r="D31" s="181" t="str">
        <f>IF(ISNA(VLOOKUP(B31,Master!AQ$59:BC$106,7,FALSE)),"",VLOOKUP(B31,Master!AQ$59:BC$106,7,FALSE))</f>
        <v>RJPA198929015480</v>
      </c>
      <c r="E31" s="182">
        <f>IF(ISNA(VLOOKUP(B31,Master!AQ$59:BC$106,8,FALSE)),"",VLOOKUP(B31,Master!AQ$59:BC$106,8,FALSE))</f>
        <v>619670</v>
      </c>
      <c r="F31" s="183" t="str">
        <f>IF(ISNA(VLOOKUP(B31,Master!AQ$59:BC$106,4,FALSE)),"",VLOOKUP(B31,Master!AQ$59:BC$106,4,FALSE))</f>
        <v>TEACHER-III</v>
      </c>
      <c r="G31" s="184">
        <f>IF(ISNA(VLOOKUP(B31,Master!AQ$59:BC$106,5,FALSE)),"",VLOOKUP(B31,Master!AQ$59:BC$106,5,FALSE))</f>
        <v>10</v>
      </c>
      <c r="H31" s="185">
        <f>IF(ISNA(VLOOKUP(B31,Master!AQ$59:BC$106,6,FALSE)),"",VLOOKUP(B31,Master!AQ$59:BC$106,6,FALSE))</f>
        <v>45600</v>
      </c>
      <c r="I31" s="179">
        <f t="shared" si="82"/>
        <v>547200</v>
      </c>
      <c r="J31" s="181" t="str">
        <f t="shared" ca="1" si="83"/>
        <v>01.07.2020</v>
      </c>
      <c r="K31" s="179">
        <f t="shared" si="84"/>
        <v>11200</v>
      </c>
      <c r="L31" s="179">
        <f t="shared" si="85"/>
        <v>558400</v>
      </c>
      <c r="M31" s="179">
        <f t="shared" si="86"/>
        <v>542000</v>
      </c>
      <c r="N31" s="268" t="str">
        <f>IF(ISNA(VLOOKUP(B31,Master!AQ$59:BC$106,12,FALSE)),"",VLOOKUP(B31,Master!AQ$59:BC$106,12,FALSE))</f>
        <v>NON GAZETTED - REGULAR</v>
      </c>
      <c r="O31" s="262"/>
      <c r="P31" s="262"/>
      <c r="Q31" s="262"/>
      <c r="R31" s="262">
        <f t="shared" si="87"/>
        <v>6774</v>
      </c>
      <c r="S31" s="102">
        <f t="shared" si="40"/>
        <v>1</v>
      </c>
      <c r="T31" s="1" t="str">
        <f>IF(ISNA(VLOOKUP(B31,Master!AQ$59:BC$106,10,FALSE)),"",VLOOKUP(B31,Master!AQ$59:BC$106,10,FALSE))</f>
        <v>NO</v>
      </c>
      <c r="U31" s="127"/>
      <c r="V31" s="127"/>
      <c r="W31" s="128" t="str">
        <f>IF(ISNA(VLOOKUP(B31,Master!AQ$59:BC$106,11,FALSE)),"",VLOOKUP(B31,Master!AQ$59:BC$106,11,FALSE))</f>
        <v>NO</v>
      </c>
      <c r="X31" s="128" t="str">
        <f>IF(ISNA(VLOOKUP(B31,Master!AQ$59:BC$106,9,FALSE)),"",VLOOKUP(B31,Master!AQ$59:BC$106,9,FALSE))</f>
        <v>MALE</v>
      </c>
      <c r="Y31" s="129">
        <f t="shared" si="55"/>
        <v>0</v>
      </c>
      <c r="Z31" s="129">
        <f t="shared" si="56"/>
        <v>0</v>
      </c>
      <c r="AA31" s="129">
        <f t="shared" si="57"/>
        <v>0</v>
      </c>
      <c r="AB31" s="129">
        <f t="shared" si="58"/>
        <v>0</v>
      </c>
      <c r="AC31" s="129">
        <f t="shared" si="59"/>
        <v>0</v>
      </c>
      <c r="AD31" s="129">
        <f t="shared" si="60"/>
        <v>0</v>
      </c>
      <c r="AE31" s="130">
        <f t="shared" si="88"/>
        <v>44300</v>
      </c>
      <c r="AF31" s="130">
        <f t="shared" si="89"/>
        <v>0</v>
      </c>
      <c r="AG31" s="130">
        <f t="shared" si="90"/>
        <v>558400</v>
      </c>
      <c r="AH31" s="130">
        <f t="shared" si="91"/>
        <v>0</v>
      </c>
      <c r="AI31" s="130">
        <f t="shared" si="92"/>
        <v>0</v>
      </c>
      <c r="AJ31" s="128">
        <f t="shared" si="93"/>
        <v>0</v>
      </c>
      <c r="AK31" s="128">
        <v>0</v>
      </c>
      <c r="AL31" s="129">
        <v>0</v>
      </c>
      <c r="AM31" s="128">
        <f t="shared" si="94"/>
        <v>0</v>
      </c>
      <c r="AN31" s="129">
        <f t="shared" si="61"/>
        <v>0</v>
      </c>
      <c r="AO31" s="128">
        <f t="shared" si="48"/>
        <v>25536</v>
      </c>
      <c r="AP31" s="128">
        <f t="shared" si="62"/>
        <v>0</v>
      </c>
      <c r="AQ31" s="128">
        <f t="shared" si="63"/>
        <v>0</v>
      </c>
      <c r="AR31" s="128">
        <f t="shared" si="64"/>
        <v>0</v>
      </c>
      <c r="AS31" s="130">
        <f t="shared" si="65"/>
        <v>583936</v>
      </c>
      <c r="AT31" s="130">
        <f t="shared" si="66"/>
        <v>583936</v>
      </c>
      <c r="AU31" s="128"/>
      <c r="AV31" s="128"/>
      <c r="AW31" s="130">
        <f t="shared" si="95"/>
        <v>583936</v>
      </c>
      <c r="AX31" s="130">
        <f t="shared" si="67"/>
        <v>0</v>
      </c>
      <c r="AY31" s="130">
        <f t="shared" si="68"/>
        <v>542000</v>
      </c>
      <c r="AZ31" s="130">
        <f t="shared" si="69"/>
        <v>0</v>
      </c>
      <c r="BA31" s="130">
        <f t="shared" si="70"/>
        <v>0</v>
      </c>
      <c r="BB31" s="128">
        <f t="shared" si="96"/>
        <v>0</v>
      </c>
      <c r="BC31" s="128">
        <f t="shared" si="71"/>
        <v>0</v>
      </c>
      <c r="BD31" s="129">
        <v>0</v>
      </c>
      <c r="BE31" s="128">
        <f t="shared" si="97"/>
        <v>0</v>
      </c>
      <c r="BF31" s="129">
        <f t="shared" si="72"/>
        <v>0</v>
      </c>
      <c r="BG31" s="128">
        <f t="shared" si="49"/>
        <v>24808</v>
      </c>
      <c r="BH31" s="128">
        <f t="shared" si="73"/>
        <v>0</v>
      </c>
      <c r="BI31" s="128">
        <f t="shared" si="74"/>
        <v>0</v>
      </c>
      <c r="BJ31" s="128">
        <f t="shared" si="75"/>
        <v>0</v>
      </c>
      <c r="BK31" s="130">
        <f t="shared" si="98"/>
        <v>566808</v>
      </c>
      <c r="BL31" s="130">
        <f t="shared" si="99"/>
        <v>566808</v>
      </c>
      <c r="BM31" s="128"/>
      <c r="BN31" s="128"/>
      <c r="BO31" s="130">
        <f t="shared" si="100"/>
        <v>566808</v>
      </c>
      <c r="BP31" s="124">
        <f t="shared" si="76"/>
        <v>0</v>
      </c>
      <c r="BQ31" s="124">
        <f t="shared" si="77"/>
        <v>1</v>
      </c>
      <c r="BR31" s="124">
        <f t="shared" si="78"/>
        <v>0</v>
      </c>
      <c r="BS31" s="124">
        <f t="shared" si="79"/>
        <v>0</v>
      </c>
      <c r="BT31" s="124">
        <f t="shared" si="50"/>
        <v>0</v>
      </c>
      <c r="BU31" s="124">
        <f t="shared" si="101"/>
        <v>0</v>
      </c>
      <c r="BV31" s="110">
        <f t="shared" si="80"/>
        <v>0</v>
      </c>
      <c r="BW31" s="131">
        <f t="shared" si="102"/>
        <v>1</v>
      </c>
      <c r="BX31" s="110">
        <f t="shared" si="52"/>
        <v>0</v>
      </c>
      <c r="BY31" s="110">
        <f t="shared" si="53"/>
        <v>0</v>
      </c>
      <c r="BZ31" s="99">
        <f t="shared" si="81"/>
        <v>1</v>
      </c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Z31" s="99"/>
    </row>
    <row r="32" spans="1:104" s="126" customFormat="1" ht="18.75">
      <c r="A32" s="179">
        <v>2202</v>
      </c>
      <c r="B32" s="179">
        <v>6</v>
      </c>
      <c r="C32" s="180" t="str">
        <f>IF(ISNA(VLOOKUP(B32,Master!AQ$59:BC$106,3,FALSE)),"",VLOOKUP(B32,Master!AQ$59:BC$106,3,FALSE))</f>
        <v>Hkykjke</v>
      </c>
      <c r="D32" s="181" t="str">
        <f>IF(ISNA(VLOOKUP(B32,Master!AQ$59:BC$106,7,FALSE)),"",VLOOKUP(B32,Master!AQ$59:BC$106,7,FALSE))</f>
        <v>RJPA200729000663</v>
      </c>
      <c r="E32" s="182">
        <f>IF(ISNA(VLOOKUP(B32,Master!AQ$59:BC$106,8,FALSE)),"",VLOOKUP(B32,Master!AQ$59:BC$106,8,FALSE))</f>
        <v>111002730880</v>
      </c>
      <c r="F32" s="183" t="str">
        <f>IF(ISNA(VLOOKUP(B32,Master!AQ$59:BC$106,4,FALSE)),"",VLOOKUP(B32,Master!AQ$59:BC$106,4,FALSE))</f>
        <v>TEACHER-III</v>
      </c>
      <c r="G32" s="184">
        <f>IF(ISNA(VLOOKUP(B32,Master!AQ$59:BC$106,5,FALSE)),"",VLOOKUP(B32,Master!AQ$59:BC$106,5,FALSE))</f>
        <v>10</v>
      </c>
      <c r="H32" s="185">
        <f>IF(ISNA(VLOOKUP(B32,Master!AQ$59:BC$106,6,FALSE)),"",VLOOKUP(B32,Master!AQ$59:BC$106,6,FALSE))</f>
        <v>69300</v>
      </c>
      <c r="I32" s="179">
        <f t="shared" si="82"/>
        <v>831600</v>
      </c>
      <c r="J32" s="181" t="str">
        <f t="shared" ca="1" si="83"/>
        <v>01.07.2020</v>
      </c>
      <c r="K32" s="179">
        <f t="shared" si="84"/>
        <v>16800</v>
      </c>
      <c r="L32" s="179">
        <f t="shared" si="85"/>
        <v>848400</v>
      </c>
      <c r="M32" s="179">
        <f t="shared" si="86"/>
        <v>823600</v>
      </c>
      <c r="N32" s="268" t="str">
        <f>IF(ISNA(VLOOKUP(B32,Master!AQ$59:BC$106,12,FALSE)),"",VLOOKUP(B32,Master!AQ$59:BC$106,12,FALSE))</f>
        <v>NON GAZETTED - REGULAR</v>
      </c>
      <c r="O32" s="262"/>
      <c r="P32" s="262"/>
      <c r="Q32" s="262"/>
      <c r="R32" s="262">
        <f t="shared" si="87"/>
        <v>6774</v>
      </c>
      <c r="S32" s="102">
        <f t="shared" si="40"/>
        <v>1</v>
      </c>
      <c r="T32" s="1" t="str">
        <f>IF(ISNA(VLOOKUP(B32,Master!AQ$59:BC$106,10,FALSE)),"",VLOOKUP(B32,Master!AQ$59:BC$106,10,FALSE))</f>
        <v>NO</v>
      </c>
      <c r="U32" s="127"/>
      <c r="V32" s="127"/>
      <c r="W32" s="128" t="str">
        <f>IF(ISNA(VLOOKUP(B32,Master!AQ$59:BC$106,11,FALSE)),"",VLOOKUP(B32,Master!AQ$59:BC$106,11,FALSE))</f>
        <v>NO</v>
      </c>
      <c r="X32" s="128" t="str">
        <f>IF(ISNA(VLOOKUP(B32,Master!AQ$59:BC$106,9,FALSE)),"",VLOOKUP(B32,Master!AQ$59:BC$106,9,FALSE))</f>
        <v>MALE</v>
      </c>
      <c r="Y32" s="129">
        <f t="shared" si="55"/>
        <v>0</v>
      </c>
      <c r="Z32" s="129">
        <f t="shared" si="56"/>
        <v>0</v>
      </c>
      <c r="AA32" s="129">
        <f t="shared" si="57"/>
        <v>0</v>
      </c>
      <c r="AB32" s="129">
        <f t="shared" si="58"/>
        <v>0</v>
      </c>
      <c r="AC32" s="129">
        <f t="shared" si="59"/>
        <v>0</v>
      </c>
      <c r="AD32" s="129">
        <f t="shared" si="60"/>
        <v>0</v>
      </c>
      <c r="AE32" s="130">
        <f t="shared" si="88"/>
        <v>67300</v>
      </c>
      <c r="AF32" s="130">
        <f t="shared" si="89"/>
        <v>0</v>
      </c>
      <c r="AG32" s="130">
        <f t="shared" si="90"/>
        <v>848400</v>
      </c>
      <c r="AH32" s="130">
        <f t="shared" si="91"/>
        <v>0</v>
      </c>
      <c r="AI32" s="130">
        <f t="shared" si="92"/>
        <v>0</v>
      </c>
      <c r="AJ32" s="128">
        <f t="shared" si="93"/>
        <v>0</v>
      </c>
      <c r="AK32" s="128">
        <v>0</v>
      </c>
      <c r="AL32" s="129">
        <v>0</v>
      </c>
      <c r="AM32" s="128">
        <f t="shared" si="94"/>
        <v>0</v>
      </c>
      <c r="AN32" s="129">
        <f t="shared" si="61"/>
        <v>0</v>
      </c>
      <c r="AO32" s="128">
        <f t="shared" si="48"/>
        <v>38808</v>
      </c>
      <c r="AP32" s="128">
        <f t="shared" si="62"/>
        <v>0</v>
      </c>
      <c r="AQ32" s="128">
        <f t="shared" si="63"/>
        <v>0</v>
      </c>
      <c r="AR32" s="128">
        <f t="shared" si="64"/>
        <v>0</v>
      </c>
      <c r="AS32" s="130">
        <f t="shared" si="65"/>
        <v>887208</v>
      </c>
      <c r="AT32" s="130">
        <f t="shared" si="66"/>
        <v>887208</v>
      </c>
      <c r="AU32" s="128"/>
      <c r="AV32" s="128"/>
      <c r="AW32" s="130">
        <f t="shared" si="95"/>
        <v>887208</v>
      </c>
      <c r="AX32" s="130">
        <f t="shared" si="67"/>
        <v>0</v>
      </c>
      <c r="AY32" s="130">
        <f t="shared" si="68"/>
        <v>823600</v>
      </c>
      <c r="AZ32" s="130">
        <f t="shared" si="69"/>
        <v>0</v>
      </c>
      <c r="BA32" s="130">
        <f t="shared" si="70"/>
        <v>0</v>
      </c>
      <c r="BB32" s="128">
        <f t="shared" si="96"/>
        <v>0</v>
      </c>
      <c r="BC32" s="128">
        <f t="shared" si="71"/>
        <v>0</v>
      </c>
      <c r="BD32" s="129">
        <v>0</v>
      </c>
      <c r="BE32" s="128">
        <f t="shared" si="97"/>
        <v>0</v>
      </c>
      <c r="BF32" s="129">
        <f t="shared" si="72"/>
        <v>0</v>
      </c>
      <c r="BG32" s="128">
        <f t="shared" si="49"/>
        <v>37688</v>
      </c>
      <c r="BH32" s="128">
        <f t="shared" si="73"/>
        <v>0</v>
      </c>
      <c r="BI32" s="128">
        <f t="shared" si="74"/>
        <v>0</v>
      </c>
      <c r="BJ32" s="128">
        <f t="shared" si="75"/>
        <v>0</v>
      </c>
      <c r="BK32" s="130">
        <f t="shared" si="98"/>
        <v>861288</v>
      </c>
      <c r="BL32" s="130">
        <f t="shared" si="99"/>
        <v>861288</v>
      </c>
      <c r="BM32" s="128"/>
      <c r="BN32" s="128"/>
      <c r="BO32" s="130">
        <f t="shared" si="100"/>
        <v>861288</v>
      </c>
      <c r="BP32" s="124">
        <f t="shared" si="76"/>
        <v>0</v>
      </c>
      <c r="BQ32" s="124">
        <f t="shared" si="77"/>
        <v>1</v>
      </c>
      <c r="BR32" s="124">
        <f t="shared" si="78"/>
        <v>0</v>
      </c>
      <c r="BS32" s="124">
        <f t="shared" si="79"/>
        <v>0</v>
      </c>
      <c r="BT32" s="124">
        <f t="shared" si="50"/>
        <v>0</v>
      </c>
      <c r="BU32" s="124">
        <f t="shared" si="101"/>
        <v>0</v>
      </c>
      <c r="BV32" s="110">
        <f t="shared" si="80"/>
        <v>1</v>
      </c>
      <c r="BW32" s="131">
        <f t="shared" si="102"/>
        <v>1</v>
      </c>
      <c r="BX32" s="110">
        <f t="shared" si="52"/>
        <v>0</v>
      </c>
      <c r="BY32" s="110">
        <f t="shared" si="53"/>
        <v>0</v>
      </c>
      <c r="BZ32" s="99">
        <f t="shared" si="81"/>
        <v>0</v>
      </c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Z32" s="99"/>
    </row>
    <row r="33" spans="1:104" s="126" customFormat="1" ht="18.75">
      <c r="A33" s="179">
        <v>2202</v>
      </c>
      <c r="B33" s="179">
        <v>7</v>
      </c>
      <c r="C33" s="180" t="str">
        <f>IF(ISNA(VLOOKUP(B33,Master!AQ$59:BC$106,3,FALSE)),"",VLOOKUP(B33,Master!AQ$59:BC$106,3,FALSE))</f>
        <v>yfyrdqekj</v>
      </c>
      <c r="D33" s="181" t="str">
        <f>IF(ISNA(VLOOKUP(B33,Master!AQ$59:BC$106,7,FALSE)),"",VLOOKUP(B33,Master!AQ$59:BC$106,7,FALSE))</f>
        <v>RJPA199429002454</v>
      </c>
      <c r="E33" s="182">
        <f>IF(ISNA(VLOOKUP(B33,Master!AQ$59:BC$106,8,FALSE)),"",VLOOKUP(B33,Master!AQ$59:BC$106,8,FALSE))</f>
        <v>1057886</v>
      </c>
      <c r="F33" s="183" t="str">
        <f>IF(ISNA(VLOOKUP(B33,Master!AQ$59:BC$106,4,FALSE)),"",VLOOKUP(B33,Master!AQ$59:BC$106,4,FALSE))</f>
        <v>TEACHER-III</v>
      </c>
      <c r="G33" s="184">
        <f>IF(ISNA(VLOOKUP(B33,Master!AQ$59:BC$106,5,FALSE)),"",VLOOKUP(B33,Master!AQ$59:BC$106,5,FALSE))</f>
        <v>10</v>
      </c>
      <c r="H33" s="185">
        <f>IF(ISNA(VLOOKUP(B33,Master!AQ$59:BC$106,6,FALSE)),"",VLOOKUP(B33,Master!AQ$59:BC$106,6,FALSE))</f>
        <v>21900</v>
      </c>
      <c r="I33" s="179">
        <f t="shared" si="82"/>
        <v>262800</v>
      </c>
      <c r="J33" s="181" t="str">
        <f t="shared" ca="1" si="83"/>
        <v>01.07.2020</v>
      </c>
      <c r="K33" s="179">
        <f t="shared" si="84"/>
        <v>5600</v>
      </c>
      <c r="L33" s="179">
        <f t="shared" si="85"/>
        <v>268400</v>
      </c>
      <c r="M33" s="179">
        <f t="shared" si="86"/>
        <v>260400</v>
      </c>
      <c r="N33" s="268" t="str">
        <f>IF(ISNA(VLOOKUP(B33,Master!AQ$59:BC$106,12,FALSE)),"",VLOOKUP(B33,Master!AQ$59:BC$106,12,FALSE))</f>
        <v>NON GAZETTED - REGULAR</v>
      </c>
      <c r="O33" s="262"/>
      <c r="P33" s="262"/>
      <c r="Q33" s="262"/>
      <c r="R33" s="262">
        <f t="shared" si="87"/>
        <v>6774</v>
      </c>
      <c r="S33" s="102">
        <f t="shared" si="40"/>
        <v>1</v>
      </c>
      <c r="T33" s="1" t="str">
        <f>IF(ISNA(VLOOKUP(B33,Master!AQ$59:BC$106,10,FALSE)),"",VLOOKUP(B33,Master!AQ$59:BC$106,10,FALSE))</f>
        <v>NO</v>
      </c>
      <c r="U33" s="127"/>
      <c r="V33" s="127"/>
      <c r="W33" s="128" t="str">
        <f>IF(ISNA(VLOOKUP(B33,Master!AQ$59:BC$106,11,FALSE)),"",VLOOKUP(B33,Master!AQ$59:BC$106,11,FALSE))</f>
        <v>NO</v>
      </c>
      <c r="X33" s="128" t="str">
        <f>IF(ISNA(VLOOKUP(B33,Master!AQ$59:BC$106,9,FALSE)),"",VLOOKUP(B33,Master!AQ$59:BC$106,9,FALSE))</f>
        <v>MALE</v>
      </c>
      <c r="Y33" s="129">
        <f t="shared" si="55"/>
        <v>0</v>
      </c>
      <c r="Z33" s="129">
        <f t="shared" si="56"/>
        <v>0</v>
      </c>
      <c r="AA33" s="129">
        <f t="shared" si="57"/>
        <v>0</v>
      </c>
      <c r="AB33" s="129">
        <f t="shared" si="58"/>
        <v>0</v>
      </c>
      <c r="AC33" s="129">
        <f t="shared" si="59"/>
        <v>0</v>
      </c>
      <c r="AD33" s="129">
        <f t="shared" si="60"/>
        <v>0</v>
      </c>
      <c r="AE33" s="130">
        <f t="shared" si="88"/>
        <v>21300</v>
      </c>
      <c r="AF33" s="130">
        <f t="shared" si="89"/>
        <v>0</v>
      </c>
      <c r="AG33" s="130">
        <f t="shared" si="90"/>
        <v>268400</v>
      </c>
      <c r="AH33" s="130">
        <f t="shared" si="91"/>
        <v>0</v>
      </c>
      <c r="AI33" s="130">
        <f t="shared" si="92"/>
        <v>0</v>
      </c>
      <c r="AJ33" s="128">
        <f t="shared" si="93"/>
        <v>0</v>
      </c>
      <c r="AK33" s="128">
        <v>0</v>
      </c>
      <c r="AL33" s="129">
        <v>0</v>
      </c>
      <c r="AM33" s="128">
        <f t="shared" si="94"/>
        <v>0</v>
      </c>
      <c r="AN33" s="129">
        <f t="shared" si="61"/>
        <v>0</v>
      </c>
      <c r="AO33" s="128">
        <f t="shared" si="48"/>
        <v>12264</v>
      </c>
      <c r="AP33" s="128">
        <f t="shared" si="62"/>
        <v>0</v>
      </c>
      <c r="AQ33" s="128">
        <f t="shared" si="63"/>
        <v>0</v>
      </c>
      <c r="AR33" s="128">
        <f t="shared" si="64"/>
        <v>0</v>
      </c>
      <c r="AS33" s="130">
        <f t="shared" si="65"/>
        <v>280664</v>
      </c>
      <c r="AT33" s="130">
        <f t="shared" si="66"/>
        <v>280664</v>
      </c>
      <c r="AU33" s="128"/>
      <c r="AV33" s="128"/>
      <c r="AW33" s="130">
        <f t="shared" si="95"/>
        <v>280664</v>
      </c>
      <c r="AX33" s="130">
        <f t="shared" si="67"/>
        <v>0</v>
      </c>
      <c r="AY33" s="130">
        <f t="shared" si="68"/>
        <v>260400</v>
      </c>
      <c r="AZ33" s="130">
        <f t="shared" si="69"/>
        <v>0</v>
      </c>
      <c r="BA33" s="130">
        <f t="shared" si="70"/>
        <v>0</v>
      </c>
      <c r="BB33" s="128">
        <f t="shared" si="96"/>
        <v>0</v>
      </c>
      <c r="BC33" s="128">
        <f t="shared" si="71"/>
        <v>0</v>
      </c>
      <c r="BD33" s="129">
        <v>0</v>
      </c>
      <c r="BE33" s="128">
        <f t="shared" si="97"/>
        <v>0</v>
      </c>
      <c r="BF33" s="129">
        <f t="shared" si="72"/>
        <v>0</v>
      </c>
      <c r="BG33" s="128">
        <f t="shared" si="49"/>
        <v>11928</v>
      </c>
      <c r="BH33" s="128">
        <f t="shared" si="73"/>
        <v>0</v>
      </c>
      <c r="BI33" s="128">
        <f t="shared" si="74"/>
        <v>0</v>
      </c>
      <c r="BJ33" s="128">
        <f t="shared" si="75"/>
        <v>0</v>
      </c>
      <c r="BK33" s="130">
        <f t="shared" si="98"/>
        <v>272328</v>
      </c>
      <c r="BL33" s="130">
        <f t="shared" si="99"/>
        <v>272328</v>
      </c>
      <c r="BM33" s="128"/>
      <c r="BN33" s="128"/>
      <c r="BO33" s="130">
        <f t="shared" si="100"/>
        <v>272328</v>
      </c>
      <c r="BP33" s="124">
        <f t="shared" si="76"/>
        <v>0</v>
      </c>
      <c r="BQ33" s="124">
        <f t="shared" si="77"/>
        <v>1</v>
      </c>
      <c r="BR33" s="124">
        <f t="shared" si="78"/>
        <v>0</v>
      </c>
      <c r="BS33" s="124">
        <f t="shared" si="79"/>
        <v>0</v>
      </c>
      <c r="BT33" s="124">
        <f t="shared" si="50"/>
        <v>0</v>
      </c>
      <c r="BU33" s="124">
        <f t="shared" si="101"/>
        <v>0</v>
      </c>
      <c r="BV33" s="110">
        <f t="shared" si="80"/>
        <v>0</v>
      </c>
      <c r="BW33" s="131">
        <f t="shared" si="102"/>
        <v>1</v>
      </c>
      <c r="BX33" s="110">
        <f t="shared" si="52"/>
        <v>0</v>
      </c>
      <c r="BY33" s="110">
        <f t="shared" si="53"/>
        <v>0</v>
      </c>
      <c r="BZ33" s="99">
        <f t="shared" si="81"/>
        <v>1</v>
      </c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Z33" s="99"/>
    </row>
    <row r="34" spans="1:104" s="126" customFormat="1" ht="18.75">
      <c r="A34" s="179">
        <v>2202</v>
      </c>
      <c r="B34" s="179">
        <v>8</v>
      </c>
      <c r="C34" s="180" t="str">
        <f>IF(ISNA(VLOOKUP(B34,Master!AQ$59:BC$106,3,FALSE)),"",VLOOKUP(B34,Master!AQ$59:BC$106,3,FALSE))</f>
        <v>eunhiflag</v>
      </c>
      <c r="D34" s="181" t="str">
        <f>IF(ISNA(VLOOKUP(B34,Master!AQ$59:BC$106,7,FALSE)),"",VLOOKUP(B34,Master!AQ$59:BC$106,7,FALSE))</f>
        <v>RJPA200029000805</v>
      </c>
      <c r="E34" s="182">
        <f>IF(ISNA(VLOOKUP(B34,Master!AQ$59:BC$106,8,FALSE)),"",VLOOKUP(B34,Master!AQ$59:BC$106,8,FALSE))</f>
        <v>942738</v>
      </c>
      <c r="F34" s="183" t="str">
        <f>IF(ISNA(VLOOKUP(B34,Master!AQ$59:BC$106,4,FALSE)),"",VLOOKUP(B34,Master!AQ$59:BC$106,4,FALSE))</f>
        <v>PTI  III</v>
      </c>
      <c r="G34" s="184">
        <f>IF(ISNA(VLOOKUP(B34,Master!AQ$59:BC$106,5,FALSE)),"",VLOOKUP(B34,Master!AQ$59:BC$106,5,FALSE))</f>
        <v>10</v>
      </c>
      <c r="H34" s="185">
        <f>IF(ISNA(VLOOKUP(B34,Master!AQ$59:BC$106,6,FALSE)),"",VLOOKUP(B34,Master!AQ$59:BC$106,6,FALSE))</f>
        <v>34600</v>
      </c>
      <c r="I34" s="179">
        <f t="shared" si="82"/>
        <v>415200</v>
      </c>
      <c r="J34" s="181" t="str">
        <f t="shared" ca="1" si="83"/>
        <v>01.07.2020</v>
      </c>
      <c r="K34" s="179">
        <f t="shared" si="84"/>
        <v>8000</v>
      </c>
      <c r="L34" s="179">
        <f t="shared" si="85"/>
        <v>423200</v>
      </c>
      <c r="M34" s="179">
        <f t="shared" si="86"/>
        <v>411200</v>
      </c>
      <c r="N34" s="268" t="str">
        <f>IF(ISNA(VLOOKUP(B34,Master!AQ$59:BC$106,12,FALSE)),"",VLOOKUP(B34,Master!AQ$59:BC$106,12,FALSE))</f>
        <v>NON GAZETTED - REGULAR</v>
      </c>
      <c r="O34" s="262"/>
      <c r="P34" s="262"/>
      <c r="Q34" s="262"/>
      <c r="R34" s="262">
        <f t="shared" si="87"/>
        <v>6774</v>
      </c>
      <c r="S34" s="102">
        <f t="shared" si="40"/>
        <v>1</v>
      </c>
      <c r="T34" s="1" t="str">
        <f>IF(ISNA(VLOOKUP(B34,Master!AQ$59:BC$106,10,FALSE)),"",VLOOKUP(B34,Master!AQ$59:BC$106,10,FALSE))</f>
        <v>NO</v>
      </c>
      <c r="U34" s="127"/>
      <c r="V34" s="127"/>
      <c r="W34" s="128" t="str">
        <f>IF(ISNA(VLOOKUP(B34,Master!AQ$59:BC$106,11,FALSE)),"",VLOOKUP(B34,Master!AQ$59:BC$106,11,FALSE))</f>
        <v>YES</v>
      </c>
      <c r="X34" s="128" t="str">
        <f>IF(ISNA(VLOOKUP(B34,Master!AQ$59:BC$106,9,FALSE)),"",VLOOKUP(B34,Master!AQ$59:BC$106,9,FALSE))</f>
        <v>FEMALE</v>
      </c>
      <c r="Y34" s="129">
        <f t="shared" si="55"/>
        <v>0</v>
      </c>
      <c r="Z34" s="129">
        <f t="shared" si="56"/>
        <v>0</v>
      </c>
      <c r="AA34" s="129">
        <f t="shared" si="57"/>
        <v>0</v>
      </c>
      <c r="AB34" s="129">
        <f t="shared" si="58"/>
        <v>0</v>
      </c>
      <c r="AC34" s="129">
        <f t="shared" si="59"/>
        <v>0</v>
      </c>
      <c r="AD34" s="129">
        <f t="shared" si="60"/>
        <v>0</v>
      </c>
      <c r="AE34" s="130">
        <f t="shared" si="88"/>
        <v>33600</v>
      </c>
      <c r="AF34" s="130">
        <f t="shared" si="89"/>
        <v>0</v>
      </c>
      <c r="AG34" s="130">
        <f t="shared" si="90"/>
        <v>423200</v>
      </c>
      <c r="AH34" s="130">
        <f t="shared" si="91"/>
        <v>0</v>
      </c>
      <c r="AI34" s="130">
        <f t="shared" si="92"/>
        <v>0</v>
      </c>
      <c r="AJ34" s="128">
        <f t="shared" si="93"/>
        <v>0</v>
      </c>
      <c r="AK34" s="128">
        <v>0</v>
      </c>
      <c r="AL34" s="129">
        <v>0</v>
      </c>
      <c r="AM34" s="128">
        <f t="shared" si="94"/>
        <v>0</v>
      </c>
      <c r="AN34" s="129">
        <f t="shared" si="61"/>
        <v>0</v>
      </c>
      <c r="AO34" s="128">
        <f t="shared" si="48"/>
        <v>19376</v>
      </c>
      <c r="AP34" s="128">
        <f t="shared" si="62"/>
        <v>0</v>
      </c>
      <c r="AQ34" s="128">
        <f t="shared" si="63"/>
        <v>0</v>
      </c>
      <c r="AR34" s="128">
        <f t="shared" si="64"/>
        <v>0</v>
      </c>
      <c r="AS34" s="130">
        <f t="shared" si="65"/>
        <v>442576</v>
      </c>
      <c r="AT34" s="130">
        <f t="shared" si="66"/>
        <v>442576</v>
      </c>
      <c r="AU34" s="128"/>
      <c r="AV34" s="128"/>
      <c r="AW34" s="130">
        <f t="shared" si="95"/>
        <v>442576</v>
      </c>
      <c r="AX34" s="130">
        <f t="shared" si="67"/>
        <v>0</v>
      </c>
      <c r="AY34" s="130">
        <f t="shared" si="68"/>
        <v>411200</v>
      </c>
      <c r="AZ34" s="130">
        <f t="shared" si="69"/>
        <v>0</v>
      </c>
      <c r="BA34" s="130">
        <f t="shared" si="70"/>
        <v>0</v>
      </c>
      <c r="BB34" s="128">
        <f t="shared" si="96"/>
        <v>0</v>
      </c>
      <c r="BC34" s="128">
        <f t="shared" si="71"/>
        <v>0</v>
      </c>
      <c r="BD34" s="129">
        <v>0</v>
      </c>
      <c r="BE34" s="128">
        <f t="shared" si="97"/>
        <v>0</v>
      </c>
      <c r="BF34" s="129">
        <f t="shared" si="72"/>
        <v>0</v>
      </c>
      <c r="BG34" s="128">
        <f t="shared" si="49"/>
        <v>18816</v>
      </c>
      <c r="BH34" s="128">
        <f t="shared" si="73"/>
        <v>0</v>
      </c>
      <c r="BI34" s="128">
        <f t="shared" si="74"/>
        <v>0</v>
      </c>
      <c r="BJ34" s="128">
        <f t="shared" si="75"/>
        <v>0</v>
      </c>
      <c r="BK34" s="130">
        <f t="shared" si="98"/>
        <v>430016</v>
      </c>
      <c r="BL34" s="130">
        <f t="shared" si="99"/>
        <v>430016</v>
      </c>
      <c r="BM34" s="128"/>
      <c r="BN34" s="128"/>
      <c r="BO34" s="130">
        <f t="shared" si="100"/>
        <v>430016</v>
      </c>
      <c r="BP34" s="124">
        <f t="shared" si="76"/>
        <v>0</v>
      </c>
      <c r="BQ34" s="124">
        <f t="shared" si="77"/>
        <v>1</v>
      </c>
      <c r="BR34" s="124">
        <f t="shared" si="78"/>
        <v>0</v>
      </c>
      <c r="BS34" s="124">
        <f t="shared" si="79"/>
        <v>0</v>
      </c>
      <c r="BT34" s="124">
        <f t="shared" si="50"/>
        <v>0</v>
      </c>
      <c r="BU34" s="124">
        <f t="shared" si="101"/>
        <v>1</v>
      </c>
      <c r="BV34" s="110">
        <f t="shared" si="80"/>
        <v>0</v>
      </c>
      <c r="BW34" s="131">
        <f t="shared" si="102"/>
        <v>1</v>
      </c>
      <c r="BX34" s="110">
        <f t="shared" si="52"/>
        <v>0</v>
      </c>
      <c r="BY34" s="110">
        <f t="shared" si="53"/>
        <v>0</v>
      </c>
      <c r="BZ34" s="99">
        <f t="shared" si="81"/>
        <v>1</v>
      </c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Z34" s="99"/>
    </row>
    <row r="35" spans="1:104" s="126" customFormat="1" ht="18.75">
      <c r="A35" s="179">
        <v>2202</v>
      </c>
      <c r="B35" s="179">
        <v>9</v>
      </c>
      <c r="C35" s="180" t="str">
        <f>IF(ISNA(VLOOKUP(B35,Master!AQ$59:BC$106,3,FALSE)),"",VLOOKUP(B35,Master!AQ$59:BC$106,3,FALSE))</f>
        <v>vt;dqekj</v>
      </c>
      <c r="D35" s="181" t="str">
        <f>IF(ISNA(VLOOKUP(B35,Master!AQ$59:BC$106,7,FALSE)),"",VLOOKUP(B35,Master!AQ$59:BC$106,7,FALSE))</f>
        <v>RJPA199429002349</v>
      </c>
      <c r="E35" s="182">
        <f>IF(ISNA(VLOOKUP(B35,Master!AQ$59:BC$106,8,FALSE)),"",VLOOKUP(B35,Master!AQ$59:BC$106,8,FALSE))</f>
        <v>811134</v>
      </c>
      <c r="F35" s="183" t="str">
        <f>IF(ISNA(VLOOKUP(B35,Master!AQ$59:BC$106,4,FALSE)),"",VLOOKUP(B35,Master!AQ$59:BC$106,4,FALSE))</f>
        <v>PEON</v>
      </c>
      <c r="G35" s="184">
        <f>IF(ISNA(VLOOKUP(B35,Master!AQ$59:BC$106,5,FALSE)),"",VLOOKUP(B35,Master!AQ$59:BC$106,5,FALSE))</f>
        <v>2</v>
      </c>
      <c r="H35" s="185">
        <f>IF(ISNA(VLOOKUP(B35,Master!AQ$59:BC$106,6,FALSE)),"",VLOOKUP(B35,Master!AQ$59:BC$106,6,FALSE))</f>
        <v>30600</v>
      </c>
      <c r="I35" s="179">
        <f t="shared" si="82"/>
        <v>367200</v>
      </c>
      <c r="J35" s="181" t="str">
        <f t="shared" ca="1" si="83"/>
        <v>01.07.2020</v>
      </c>
      <c r="K35" s="179">
        <f t="shared" si="84"/>
        <v>7200</v>
      </c>
      <c r="L35" s="179">
        <f t="shared" si="85"/>
        <v>374400</v>
      </c>
      <c r="M35" s="179">
        <f t="shared" si="86"/>
        <v>363600</v>
      </c>
      <c r="N35" s="268" t="str">
        <f>IF(ISNA(VLOOKUP(B35,Master!AQ$59:BC$106,12,FALSE)),"",VLOOKUP(B35,Master!AQ$59:BC$106,12,FALSE))</f>
        <v>NON GAZETTED - REGULAR</v>
      </c>
      <c r="O35" s="262"/>
      <c r="P35" s="262"/>
      <c r="Q35" s="262"/>
      <c r="R35" s="262">
        <f t="shared" si="87"/>
        <v>6774</v>
      </c>
      <c r="S35" s="102">
        <f t="shared" ref="S35:S70" si="103">IF(F35&gt;0,1,0)</f>
        <v>1</v>
      </c>
      <c r="T35" s="1" t="str">
        <f>IF(ISNA(VLOOKUP(B35,Master!AQ$59:BC$106,10,FALSE)),"",VLOOKUP(B35,Master!AQ$59:BC$106,10,FALSE))</f>
        <v>NO</v>
      </c>
      <c r="U35" s="127"/>
      <c r="V35" s="127"/>
      <c r="W35" s="128" t="str">
        <f>IF(ISNA(VLOOKUP(B35,Master!AQ$59:BC$106,11,FALSE)),"",VLOOKUP(B35,Master!AQ$59:BC$106,11,FALSE))</f>
        <v>NO</v>
      </c>
      <c r="X35" s="128" t="str">
        <f>IF(ISNA(VLOOKUP(B35,Master!AQ$59:BC$106,9,FALSE)),"",VLOOKUP(B35,Master!AQ$59:BC$106,9,FALSE))</f>
        <v>MALE</v>
      </c>
      <c r="Y35" s="129">
        <f t="shared" si="55"/>
        <v>0</v>
      </c>
      <c r="Z35" s="129">
        <f t="shared" si="56"/>
        <v>0</v>
      </c>
      <c r="AA35" s="129">
        <f t="shared" si="57"/>
        <v>0</v>
      </c>
      <c r="AB35" s="129">
        <f t="shared" si="58"/>
        <v>0</v>
      </c>
      <c r="AC35" s="129">
        <f t="shared" si="59"/>
        <v>1</v>
      </c>
      <c r="AD35" s="129">
        <f t="shared" si="60"/>
        <v>0</v>
      </c>
      <c r="AE35" s="130">
        <f t="shared" si="88"/>
        <v>29700</v>
      </c>
      <c r="AF35" s="130">
        <f t="shared" si="89"/>
        <v>0</v>
      </c>
      <c r="AG35" s="130">
        <f t="shared" si="90"/>
        <v>374400</v>
      </c>
      <c r="AH35" s="130">
        <f t="shared" si="91"/>
        <v>0</v>
      </c>
      <c r="AI35" s="130">
        <f t="shared" si="92"/>
        <v>0</v>
      </c>
      <c r="AJ35" s="128">
        <f t="shared" si="93"/>
        <v>0</v>
      </c>
      <c r="AK35" s="128">
        <v>0</v>
      </c>
      <c r="AL35" s="129">
        <v>0</v>
      </c>
      <c r="AM35" s="128">
        <f t="shared" si="94"/>
        <v>0</v>
      </c>
      <c r="AN35" s="129">
        <f t="shared" si="61"/>
        <v>0</v>
      </c>
      <c r="AO35" s="128">
        <f t="shared" si="48"/>
        <v>17136</v>
      </c>
      <c r="AP35" s="128">
        <f t="shared" si="62"/>
        <v>0</v>
      </c>
      <c r="AQ35" s="128">
        <f t="shared" si="63"/>
        <v>0</v>
      </c>
      <c r="AR35" s="128">
        <f t="shared" si="64"/>
        <v>0</v>
      </c>
      <c r="AS35" s="130">
        <f t="shared" si="65"/>
        <v>391536</v>
      </c>
      <c r="AT35" s="130">
        <f t="shared" si="66"/>
        <v>391536</v>
      </c>
      <c r="AU35" s="128"/>
      <c r="AV35" s="128"/>
      <c r="AW35" s="130">
        <f t="shared" si="95"/>
        <v>391536</v>
      </c>
      <c r="AX35" s="130">
        <f t="shared" si="67"/>
        <v>0</v>
      </c>
      <c r="AY35" s="130">
        <f t="shared" si="68"/>
        <v>363600</v>
      </c>
      <c r="AZ35" s="130">
        <f t="shared" si="69"/>
        <v>0</v>
      </c>
      <c r="BA35" s="130">
        <f t="shared" si="70"/>
        <v>0</v>
      </c>
      <c r="BB35" s="128">
        <f t="shared" si="96"/>
        <v>0</v>
      </c>
      <c r="BC35" s="128">
        <f t="shared" si="71"/>
        <v>0</v>
      </c>
      <c r="BD35" s="129">
        <v>0</v>
      </c>
      <c r="BE35" s="128">
        <f t="shared" si="97"/>
        <v>0</v>
      </c>
      <c r="BF35" s="129">
        <f t="shared" si="72"/>
        <v>0</v>
      </c>
      <c r="BG35" s="128">
        <f t="shared" si="49"/>
        <v>16632</v>
      </c>
      <c r="BH35" s="128">
        <f t="shared" si="73"/>
        <v>0</v>
      </c>
      <c r="BI35" s="128">
        <f t="shared" si="74"/>
        <v>0</v>
      </c>
      <c r="BJ35" s="128">
        <f t="shared" si="75"/>
        <v>0</v>
      </c>
      <c r="BK35" s="130">
        <f t="shared" si="98"/>
        <v>380232</v>
      </c>
      <c r="BL35" s="130">
        <f t="shared" si="99"/>
        <v>380232</v>
      </c>
      <c r="BM35" s="128"/>
      <c r="BN35" s="128"/>
      <c r="BO35" s="130">
        <f t="shared" si="100"/>
        <v>380232</v>
      </c>
      <c r="BP35" s="124">
        <f t="shared" si="76"/>
        <v>0</v>
      </c>
      <c r="BQ35" s="124">
        <f t="shared" si="77"/>
        <v>1</v>
      </c>
      <c r="BR35" s="124">
        <f t="shared" si="78"/>
        <v>0</v>
      </c>
      <c r="BS35" s="124">
        <f t="shared" si="79"/>
        <v>0</v>
      </c>
      <c r="BT35" s="124">
        <f t="shared" si="50"/>
        <v>0</v>
      </c>
      <c r="BU35" s="124">
        <f t="shared" si="101"/>
        <v>0</v>
      </c>
      <c r="BV35" s="110">
        <f t="shared" si="80"/>
        <v>0</v>
      </c>
      <c r="BW35" s="131">
        <f t="shared" si="102"/>
        <v>1</v>
      </c>
      <c r="BX35" s="110">
        <f t="shared" si="52"/>
        <v>0</v>
      </c>
      <c r="BY35" s="110">
        <f t="shared" si="53"/>
        <v>0</v>
      </c>
      <c r="BZ35" s="99">
        <f t="shared" si="81"/>
        <v>1</v>
      </c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Z35" s="99"/>
    </row>
    <row r="36" spans="1:104" s="126" customFormat="1" ht="18.75">
      <c r="A36" s="179">
        <v>2202</v>
      </c>
      <c r="B36" s="179">
        <v>10</v>
      </c>
      <c r="C36" s="180" t="str">
        <f>IF(ISNA(VLOOKUP(B36,Master!AQ$59:BC$106,3,FALSE)),"",VLOOKUP(B36,Master!AQ$59:BC$106,3,FALSE))</f>
        <v>in fjDr</v>
      </c>
      <c r="D36" s="181">
        <f>IF(ISNA(VLOOKUP(B36,Master!AQ$59:BC$106,7,FALSE)),"",VLOOKUP(B36,Master!AQ$59:BC$106,7,FALSE))</f>
        <v>0</v>
      </c>
      <c r="E36" s="182">
        <f>IF(ISNA(VLOOKUP(B36,Master!AQ$59:BC$106,8,FALSE)),"",VLOOKUP(B36,Master!AQ$59:BC$106,8,FALSE))</f>
        <v>0</v>
      </c>
      <c r="F36" s="183" t="str">
        <f>IF(ISNA(VLOOKUP(B36,Master!AQ$59:BC$106,4,FALSE)),"",VLOOKUP(B36,Master!AQ$59:BC$106,4,FALSE))</f>
        <v>CLERK GRADE II</v>
      </c>
      <c r="G36" s="184">
        <f>IF(ISNA(VLOOKUP(B36,Master!AQ$59:BC$106,5,FALSE)),"",VLOOKUP(B36,Master!AQ$59:BC$106,5,FALSE))</f>
        <v>0</v>
      </c>
      <c r="H36" s="185">
        <f>IF(ISNA(VLOOKUP(B36,Master!AQ$59:BC$106,6,FALSE)),"",VLOOKUP(B36,Master!AQ$59:BC$106,6,FALSE))</f>
        <v>0</v>
      </c>
      <c r="I36" s="179">
        <f t="shared" si="82"/>
        <v>0</v>
      </c>
      <c r="J36" s="181" t="str">
        <f t="shared" ca="1" si="83"/>
        <v/>
      </c>
      <c r="K36" s="179">
        <f t="shared" si="84"/>
        <v>0</v>
      </c>
      <c r="L36" s="179">
        <f t="shared" si="85"/>
        <v>0</v>
      </c>
      <c r="M36" s="179">
        <f t="shared" si="86"/>
        <v>0</v>
      </c>
      <c r="N36" s="268" t="str">
        <f>IF(ISNA(VLOOKUP(B36,Master!AQ$59:BC$106,12,FALSE)),"",VLOOKUP(B36,Master!AQ$59:BC$106,12,FALSE))</f>
        <v>NON GAZETTED - REGULAR</v>
      </c>
      <c r="O36" s="262"/>
      <c r="P36" s="262"/>
      <c r="Q36" s="262"/>
      <c r="R36" s="262">
        <f t="shared" si="87"/>
        <v>0</v>
      </c>
      <c r="S36" s="102">
        <f t="shared" si="103"/>
        <v>1</v>
      </c>
      <c r="T36" s="1" t="str">
        <f>IF(ISNA(VLOOKUP(B36,Master!AQ$59:BC$106,10,FALSE)),"",VLOOKUP(B36,Master!AQ$59:BC$106,10,FALSE))</f>
        <v>NO</v>
      </c>
      <c r="U36" s="127"/>
      <c r="V36" s="127"/>
      <c r="W36" s="128" t="str">
        <f>IF(ISNA(VLOOKUP(B36,Master!AQ$59:BC$106,11,FALSE)),"",VLOOKUP(B36,Master!AQ$59:BC$106,11,FALSE))</f>
        <v>NO</v>
      </c>
      <c r="X36" s="128">
        <f>IF(ISNA(VLOOKUP(B36,Master!AQ$59:BC$106,9,FALSE)),"",VLOOKUP(B36,Master!AQ$59:BC$106,9,FALSE))</f>
        <v>0</v>
      </c>
      <c r="Y36" s="129">
        <f t="shared" si="55"/>
        <v>0</v>
      </c>
      <c r="Z36" s="129">
        <f t="shared" si="56"/>
        <v>0</v>
      </c>
      <c r="AA36" s="129">
        <f t="shared" si="57"/>
        <v>0</v>
      </c>
      <c r="AB36" s="129">
        <f t="shared" si="58"/>
        <v>0</v>
      </c>
      <c r="AC36" s="129">
        <f t="shared" si="59"/>
        <v>0</v>
      </c>
      <c r="AD36" s="129">
        <f t="shared" si="60"/>
        <v>0</v>
      </c>
      <c r="AE36" s="130">
        <f t="shared" si="88"/>
        <v>0</v>
      </c>
      <c r="AF36" s="130">
        <f t="shared" si="89"/>
        <v>0</v>
      </c>
      <c r="AG36" s="130">
        <f t="shared" si="90"/>
        <v>0</v>
      </c>
      <c r="AH36" s="130">
        <f t="shared" si="91"/>
        <v>0</v>
      </c>
      <c r="AI36" s="130">
        <f t="shared" si="92"/>
        <v>0</v>
      </c>
      <c r="AJ36" s="128">
        <f t="shared" si="93"/>
        <v>0</v>
      </c>
      <c r="AK36" s="128">
        <v>0</v>
      </c>
      <c r="AL36" s="129">
        <v>0</v>
      </c>
      <c r="AM36" s="128">
        <f t="shared" si="94"/>
        <v>0</v>
      </c>
      <c r="AN36" s="129">
        <f t="shared" si="61"/>
        <v>0</v>
      </c>
      <c r="AO36" s="128">
        <f t="shared" si="48"/>
        <v>0</v>
      </c>
      <c r="AP36" s="128">
        <f t="shared" si="62"/>
        <v>0</v>
      </c>
      <c r="AQ36" s="128">
        <f t="shared" si="63"/>
        <v>0</v>
      </c>
      <c r="AR36" s="128">
        <f t="shared" si="64"/>
        <v>0</v>
      </c>
      <c r="AS36" s="130">
        <f t="shared" si="65"/>
        <v>0</v>
      </c>
      <c r="AT36" s="130">
        <f t="shared" si="66"/>
        <v>0</v>
      </c>
      <c r="AU36" s="128"/>
      <c r="AV36" s="128"/>
      <c r="AW36" s="130">
        <f t="shared" si="95"/>
        <v>0</v>
      </c>
      <c r="AX36" s="130">
        <f t="shared" si="67"/>
        <v>0</v>
      </c>
      <c r="AY36" s="130">
        <f t="shared" si="68"/>
        <v>0</v>
      </c>
      <c r="AZ36" s="130">
        <f t="shared" si="69"/>
        <v>0</v>
      </c>
      <c r="BA36" s="130">
        <f t="shared" si="70"/>
        <v>0</v>
      </c>
      <c r="BB36" s="128">
        <f t="shared" si="96"/>
        <v>0</v>
      </c>
      <c r="BC36" s="128">
        <f t="shared" si="71"/>
        <v>0</v>
      </c>
      <c r="BD36" s="129">
        <v>0</v>
      </c>
      <c r="BE36" s="128">
        <f t="shared" si="97"/>
        <v>0</v>
      </c>
      <c r="BF36" s="129">
        <f t="shared" si="72"/>
        <v>0</v>
      </c>
      <c r="BG36" s="128">
        <f t="shared" si="49"/>
        <v>0</v>
      </c>
      <c r="BH36" s="128">
        <f t="shared" si="73"/>
        <v>0</v>
      </c>
      <c r="BI36" s="128">
        <f t="shared" si="74"/>
        <v>0</v>
      </c>
      <c r="BJ36" s="128">
        <f t="shared" si="75"/>
        <v>0</v>
      </c>
      <c r="BK36" s="130">
        <f t="shared" si="98"/>
        <v>0</v>
      </c>
      <c r="BL36" s="130">
        <f t="shared" si="99"/>
        <v>0</v>
      </c>
      <c r="BM36" s="128"/>
      <c r="BN36" s="128"/>
      <c r="BO36" s="130">
        <f t="shared" si="100"/>
        <v>0</v>
      </c>
      <c r="BP36" s="124">
        <f t="shared" si="76"/>
        <v>0</v>
      </c>
      <c r="BQ36" s="124">
        <f t="shared" si="77"/>
        <v>1</v>
      </c>
      <c r="BR36" s="124">
        <f t="shared" si="78"/>
        <v>0</v>
      </c>
      <c r="BS36" s="124">
        <f t="shared" si="79"/>
        <v>0</v>
      </c>
      <c r="BT36" s="124">
        <f t="shared" si="50"/>
        <v>0</v>
      </c>
      <c r="BU36" s="124">
        <f t="shared" si="101"/>
        <v>0</v>
      </c>
      <c r="BV36" s="110">
        <f t="shared" si="80"/>
        <v>0</v>
      </c>
      <c r="BW36" s="131">
        <f t="shared" si="102"/>
        <v>0</v>
      </c>
      <c r="BX36" s="110">
        <f t="shared" si="52"/>
        <v>0</v>
      </c>
      <c r="BY36" s="110">
        <f t="shared" si="53"/>
        <v>0</v>
      </c>
      <c r="BZ36" s="99" t="str">
        <f t="shared" si="81"/>
        <v/>
      </c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Z36" s="99"/>
    </row>
    <row r="37" spans="1:104" s="126" customFormat="1" ht="18.75">
      <c r="A37" s="179">
        <v>2202</v>
      </c>
      <c r="B37" s="179">
        <v>11</v>
      </c>
      <c r="C37" s="180" t="str">
        <f>IF(ISNA(VLOOKUP(B37,Master!AQ$59:BC$106,3,FALSE)),"",VLOOKUP(B37,Master!AQ$59:BC$106,3,FALSE))</f>
        <v/>
      </c>
      <c r="D37" s="181" t="str">
        <f>IF(ISNA(VLOOKUP(B37,Master!AQ$59:BC$106,7,FALSE)),"",VLOOKUP(B37,Master!AQ$59:BC$106,7,FALSE))</f>
        <v/>
      </c>
      <c r="E37" s="182" t="str">
        <f>IF(ISNA(VLOOKUP(B37,Master!AQ$59:BC$106,8,FALSE)),"",VLOOKUP(B37,Master!AQ$59:BC$106,8,FALSE))</f>
        <v/>
      </c>
      <c r="F37" s="183" t="str">
        <f>IF(ISNA(VLOOKUP(B37,Master!AQ$59:BC$106,4,FALSE)),"",VLOOKUP(B37,Master!AQ$59:BC$106,4,FALSE))</f>
        <v/>
      </c>
      <c r="G37" s="184" t="str">
        <f>IF(ISNA(VLOOKUP(B37,Master!AQ$59:BC$106,5,FALSE)),"",VLOOKUP(B37,Master!AQ$59:BC$106,5,FALSE))</f>
        <v/>
      </c>
      <c r="H37" s="185" t="str">
        <f>IF(ISNA(VLOOKUP(B37,Master!AQ$59:BC$106,6,FALSE)),"",VLOOKUP(B37,Master!AQ$59:BC$106,6,FALSE))</f>
        <v/>
      </c>
      <c r="I37" s="179" t="str">
        <f t="shared" si="82"/>
        <v/>
      </c>
      <c r="J37" s="181" t="str">
        <f t="shared" ca="1" si="83"/>
        <v/>
      </c>
      <c r="K37" s="179" t="str">
        <f t="shared" si="84"/>
        <v/>
      </c>
      <c r="L37" s="179" t="str">
        <f t="shared" si="85"/>
        <v/>
      </c>
      <c r="M37" s="179" t="str">
        <f t="shared" si="86"/>
        <v/>
      </c>
      <c r="N37" s="268" t="str">
        <f>IF(ISNA(VLOOKUP(B37,Master!AQ$59:BC$106,12,FALSE)),"",VLOOKUP(B37,Master!AQ$59:BC$106,12,FALSE))</f>
        <v/>
      </c>
      <c r="O37" s="262"/>
      <c r="P37" s="262"/>
      <c r="Q37" s="262"/>
      <c r="R37" s="262">
        <f t="shared" si="87"/>
        <v>0</v>
      </c>
      <c r="S37" s="102">
        <f t="shared" si="103"/>
        <v>1</v>
      </c>
      <c r="T37" s="1" t="str">
        <f>IF(ISNA(VLOOKUP(B37,Master!AQ$59:BC$106,10,FALSE)),"",VLOOKUP(B37,Master!AQ$59:BC$106,10,FALSE))</f>
        <v/>
      </c>
      <c r="U37" s="127"/>
      <c r="V37" s="127"/>
      <c r="W37" s="128" t="str">
        <f>IF(ISNA(VLOOKUP(B37,Master!AQ$59:BC$106,11,FALSE)),"",VLOOKUP(B37,Master!AQ$59:BC$106,11,FALSE))</f>
        <v/>
      </c>
      <c r="X37" s="128" t="str">
        <f>IF(ISNA(VLOOKUP(B37,Master!AQ$59:BC$106,9,FALSE)),"",VLOOKUP(B37,Master!AQ$59:BC$106,9,FALSE))</f>
        <v/>
      </c>
      <c r="Y37" s="129">
        <f t="shared" si="55"/>
        <v>0</v>
      </c>
      <c r="Z37" s="129">
        <f t="shared" si="56"/>
        <v>0</v>
      </c>
      <c r="AA37" s="129">
        <f t="shared" si="57"/>
        <v>0</v>
      </c>
      <c r="AB37" s="129">
        <f t="shared" si="58"/>
        <v>0</v>
      </c>
      <c r="AC37" s="129">
        <f t="shared" si="59"/>
        <v>0</v>
      </c>
      <c r="AD37" s="129">
        <f t="shared" si="60"/>
        <v>0</v>
      </c>
      <c r="AE37" s="130" t="str">
        <f t="shared" si="88"/>
        <v/>
      </c>
      <c r="AF37" s="130" t="str">
        <f t="shared" si="89"/>
        <v/>
      </c>
      <c r="AG37" s="130" t="str">
        <f t="shared" si="90"/>
        <v/>
      </c>
      <c r="AH37" s="130" t="str">
        <f t="shared" si="91"/>
        <v/>
      </c>
      <c r="AI37" s="130" t="str">
        <f t="shared" si="92"/>
        <v/>
      </c>
      <c r="AJ37" s="128" t="str">
        <f t="shared" si="93"/>
        <v/>
      </c>
      <c r="AK37" s="128">
        <v>0</v>
      </c>
      <c r="AL37" s="129">
        <v>0</v>
      </c>
      <c r="AM37" s="128" t="str">
        <f t="shared" si="94"/>
        <v/>
      </c>
      <c r="AN37" s="129">
        <f t="shared" si="61"/>
        <v>0</v>
      </c>
      <c r="AO37" s="128">
        <f t="shared" si="48"/>
        <v>0</v>
      </c>
      <c r="AP37" s="128">
        <f t="shared" si="62"/>
        <v>0</v>
      </c>
      <c r="AQ37" s="128">
        <f t="shared" si="63"/>
        <v>0</v>
      </c>
      <c r="AR37" s="128">
        <f t="shared" si="64"/>
        <v>0</v>
      </c>
      <c r="AS37" s="130">
        <f t="shared" si="65"/>
        <v>0</v>
      </c>
      <c r="AT37" s="130">
        <f t="shared" si="66"/>
        <v>0</v>
      </c>
      <c r="AU37" s="128"/>
      <c r="AV37" s="128"/>
      <c r="AW37" s="130">
        <f t="shared" si="95"/>
        <v>0</v>
      </c>
      <c r="AX37" s="130">
        <f t="shared" si="67"/>
        <v>0</v>
      </c>
      <c r="AY37" s="130">
        <f t="shared" si="68"/>
        <v>0</v>
      </c>
      <c r="AZ37" s="130">
        <f t="shared" si="69"/>
        <v>0</v>
      </c>
      <c r="BA37" s="130">
        <f t="shared" si="70"/>
        <v>0</v>
      </c>
      <c r="BB37" s="128">
        <f t="shared" si="96"/>
        <v>0</v>
      </c>
      <c r="BC37" s="128">
        <f t="shared" si="71"/>
        <v>0</v>
      </c>
      <c r="BD37" s="129">
        <v>0</v>
      </c>
      <c r="BE37" s="128">
        <f t="shared" si="97"/>
        <v>0</v>
      </c>
      <c r="BF37" s="129">
        <f t="shared" si="72"/>
        <v>0</v>
      </c>
      <c r="BG37" s="128">
        <f t="shared" si="49"/>
        <v>0</v>
      </c>
      <c r="BH37" s="128">
        <f t="shared" si="73"/>
        <v>0</v>
      </c>
      <c r="BI37" s="128">
        <f t="shared" si="74"/>
        <v>0</v>
      </c>
      <c r="BJ37" s="128">
        <f t="shared" si="75"/>
        <v>0</v>
      </c>
      <c r="BK37" s="130">
        <f t="shared" si="98"/>
        <v>0</v>
      </c>
      <c r="BL37" s="130">
        <f t="shared" si="99"/>
        <v>0</v>
      </c>
      <c r="BM37" s="128"/>
      <c r="BN37" s="128"/>
      <c r="BO37" s="130">
        <f t="shared" si="100"/>
        <v>0</v>
      </c>
      <c r="BP37" s="124">
        <f t="shared" si="76"/>
        <v>0</v>
      </c>
      <c r="BQ37" s="124">
        <f t="shared" si="77"/>
        <v>1</v>
      </c>
      <c r="BR37" s="124">
        <f t="shared" si="78"/>
        <v>0</v>
      </c>
      <c r="BS37" s="124">
        <f t="shared" si="79"/>
        <v>0</v>
      </c>
      <c r="BT37" s="124">
        <f t="shared" si="50"/>
        <v>0</v>
      </c>
      <c r="BU37" s="124">
        <f t="shared" si="101"/>
        <v>1</v>
      </c>
      <c r="BV37" s="110">
        <f t="shared" si="80"/>
        <v>0</v>
      </c>
      <c r="BW37" s="131">
        <f t="shared" si="102"/>
        <v>1</v>
      </c>
      <c r="BX37" s="110">
        <f t="shared" si="52"/>
        <v>0</v>
      </c>
      <c r="BY37" s="110">
        <f t="shared" si="53"/>
        <v>0</v>
      </c>
      <c r="BZ37" s="99" t="str">
        <f t="shared" si="81"/>
        <v/>
      </c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Z37" s="99"/>
    </row>
    <row r="38" spans="1:104" s="126" customFormat="1" ht="18.75">
      <c r="A38" s="179">
        <v>2202</v>
      </c>
      <c r="B38" s="179">
        <v>12</v>
      </c>
      <c r="C38" s="180" t="str">
        <f>IF(ISNA(VLOOKUP(B38,Master!AQ$59:BC$106,3,FALSE)),"",VLOOKUP(B38,Master!AQ$59:BC$106,3,FALSE))</f>
        <v/>
      </c>
      <c r="D38" s="181" t="str">
        <f>IF(ISNA(VLOOKUP(B38,Master!AQ$59:BC$106,7,FALSE)),"",VLOOKUP(B38,Master!AQ$59:BC$106,7,FALSE))</f>
        <v/>
      </c>
      <c r="E38" s="182" t="str">
        <f>IF(ISNA(VLOOKUP(B38,Master!AQ$59:BC$106,8,FALSE)),"",VLOOKUP(B38,Master!AQ$59:BC$106,8,FALSE))</f>
        <v/>
      </c>
      <c r="F38" s="183" t="str">
        <f>IF(ISNA(VLOOKUP(B38,Master!AQ$59:BC$106,4,FALSE)),"",VLOOKUP(B38,Master!AQ$59:BC$106,4,FALSE))</f>
        <v/>
      </c>
      <c r="G38" s="184" t="str">
        <f>IF(ISNA(VLOOKUP(B38,Master!AQ$59:BC$106,5,FALSE)),"",VLOOKUP(B38,Master!AQ$59:BC$106,5,FALSE))</f>
        <v/>
      </c>
      <c r="H38" s="185" t="str">
        <f>IF(ISNA(VLOOKUP(B38,Master!AQ$59:BC$106,6,FALSE)),"",VLOOKUP(B38,Master!AQ$59:BC$106,6,FALSE))</f>
        <v/>
      </c>
      <c r="I38" s="179" t="str">
        <f t="shared" si="82"/>
        <v/>
      </c>
      <c r="J38" s="181" t="str">
        <f t="shared" ca="1" si="83"/>
        <v/>
      </c>
      <c r="K38" s="179" t="str">
        <f t="shared" si="84"/>
        <v/>
      </c>
      <c r="L38" s="179" t="str">
        <f t="shared" si="85"/>
        <v/>
      </c>
      <c r="M38" s="179" t="str">
        <f t="shared" si="86"/>
        <v/>
      </c>
      <c r="N38" s="268" t="str">
        <f>IF(ISNA(VLOOKUP(B38,Master!AQ$59:BC$106,12,FALSE)),"",VLOOKUP(B38,Master!AQ$59:BC$106,12,FALSE))</f>
        <v/>
      </c>
      <c r="O38" s="262"/>
      <c r="P38" s="262"/>
      <c r="Q38" s="262"/>
      <c r="R38" s="262">
        <f t="shared" si="87"/>
        <v>0</v>
      </c>
      <c r="S38" s="102">
        <f t="shared" si="103"/>
        <v>1</v>
      </c>
      <c r="T38" s="1" t="str">
        <f>IF(ISNA(VLOOKUP(B38,Master!AQ$59:BC$106,10,FALSE)),"",VLOOKUP(B38,Master!AQ$59:BC$106,10,FALSE))</f>
        <v/>
      </c>
      <c r="U38" s="127"/>
      <c r="V38" s="127"/>
      <c r="W38" s="128" t="str">
        <f>IF(ISNA(VLOOKUP(B38,Master!AQ$59:BC$106,11,FALSE)),"",VLOOKUP(B38,Master!AQ$59:BC$106,11,FALSE))</f>
        <v/>
      </c>
      <c r="X38" s="128" t="str">
        <f>IF(ISNA(VLOOKUP(B38,Master!AQ$59:BC$106,9,FALSE)),"",VLOOKUP(B38,Master!AQ$59:BC$106,9,FALSE))</f>
        <v/>
      </c>
      <c r="Y38" s="129">
        <f t="shared" si="55"/>
        <v>0</v>
      </c>
      <c r="Z38" s="129">
        <f t="shared" si="56"/>
        <v>0</v>
      </c>
      <c r="AA38" s="129">
        <f t="shared" si="57"/>
        <v>0</v>
      </c>
      <c r="AB38" s="129">
        <f t="shared" si="58"/>
        <v>0</v>
      </c>
      <c r="AC38" s="129">
        <f t="shared" si="59"/>
        <v>0</v>
      </c>
      <c r="AD38" s="129">
        <f t="shared" si="60"/>
        <v>0</v>
      </c>
      <c r="AE38" s="130" t="str">
        <f t="shared" si="88"/>
        <v/>
      </c>
      <c r="AF38" s="130" t="str">
        <f t="shared" si="89"/>
        <v/>
      </c>
      <c r="AG38" s="130" t="str">
        <f t="shared" si="90"/>
        <v/>
      </c>
      <c r="AH38" s="130" t="str">
        <f t="shared" si="91"/>
        <v/>
      </c>
      <c r="AI38" s="130" t="str">
        <f t="shared" si="92"/>
        <v/>
      </c>
      <c r="AJ38" s="128" t="str">
        <f t="shared" si="93"/>
        <v/>
      </c>
      <c r="AK38" s="128">
        <v>0</v>
      </c>
      <c r="AL38" s="129">
        <v>0</v>
      </c>
      <c r="AM38" s="128" t="str">
        <f t="shared" si="94"/>
        <v/>
      </c>
      <c r="AN38" s="129">
        <f t="shared" si="61"/>
        <v>0</v>
      </c>
      <c r="AO38" s="128">
        <f t="shared" si="48"/>
        <v>0</v>
      </c>
      <c r="AP38" s="128">
        <f t="shared" si="62"/>
        <v>0</v>
      </c>
      <c r="AQ38" s="128">
        <f t="shared" si="63"/>
        <v>0</v>
      </c>
      <c r="AR38" s="128">
        <f t="shared" si="64"/>
        <v>0</v>
      </c>
      <c r="AS38" s="130">
        <f t="shared" si="65"/>
        <v>0</v>
      </c>
      <c r="AT38" s="130">
        <f t="shared" si="66"/>
        <v>0</v>
      </c>
      <c r="AU38" s="128"/>
      <c r="AV38" s="128"/>
      <c r="AW38" s="130">
        <f t="shared" si="95"/>
        <v>0</v>
      </c>
      <c r="AX38" s="130">
        <f t="shared" si="67"/>
        <v>0</v>
      </c>
      <c r="AY38" s="130">
        <f t="shared" si="68"/>
        <v>0</v>
      </c>
      <c r="AZ38" s="130">
        <f t="shared" si="69"/>
        <v>0</v>
      </c>
      <c r="BA38" s="130">
        <f t="shared" si="70"/>
        <v>0</v>
      </c>
      <c r="BB38" s="128">
        <f t="shared" si="96"/>
        <v>0</v>
      </c>
      <c r="BC38" s="128">
        <f t="shared" si="71"/>
        <v>0</v>
      </c>
      <c r="BD38" s="129">
        <v>0</v>
      </c>
      <c r="BE38" s="128">
        <f t="shared" si="97"/>
        <v>0</v>
      </c>
      <c r="BF38" s="129">
        <f t="shared" si="72"/>
        <v>0</v>
      </c>
      <c r="BG38" s="128">
        <f t="shared" si="49"/>
        <v>0</v>
      </c>
      <c r="BH38" s="128">
        <f t="shared" si="73"/>
        <v>0</v>
      </c>
      <c r="BI38" s="128">
        <f t="shared" si="74"/>
        <v>0</v>
      </c>
      <c r="BJ38" s="128">
        <f t="shared" si="75"/>
        <v>0</v>
      </c>
      <c r="BK38" s="130">
        <f t="shared" si="98"/>
        <v>0</v>
      </c>
      <c r="BL38" s="130">
        <f t="shared" si="99"/>
        <v>0</v>
      </c>
      <c r="BM38" s="128"/>
      <c r="BN38" s="128"/>
      <c r="BO38" s="130">
        <f t="shared" si="100"/>
        <v>0</v>
      </c>
      <c r="BP38" s="124">
        <f t="shared" si="76"/>
        <v>0</v>
      </c>
      <c r="BQ38" s="124">
        <f t="shared" si="77"/>
        <v>1</v>
      </c>
      <c r="BR38" s="124">
        <f t="shared" si="78"/>
        <v>0</v>
      </c>
      <c r="BS38" s="124">
        <f t="shared" si="79"/>
        <v>0</v>
      </c>
      <c r="BT38" s="124">
        <f t="shared" si="50"/>
        <v>0</v>
      </c>
      <c r="BU38" s="124">
        <f t="shared" si="101"/>
        <v>1</v>
      </c>
      <c r="BV38" s="110">
        <f t="shared" si="80"/>
        <v>0</v>
      </c>
      <c r="BW38" s="131">
        <f t="shared" si="102"/>
        <v>1</v>
      </c>
      <c r="BX38" s="110">
        <f t="shared" si="52"/>
        <v>0</v>
      </c>
      <c r="BY38" s="110">
        <f t="shared" si="53"/>
        <v>0</v>
      </c>
      <c r="BZ38" s="99" t="str">
        <f t="shared" si="81"/>
        <v/>
      </c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Z38" s="99"/>
    </row>
    <row r="39" spans="1:104" s="126" customFormat="1" ht="18.75">
      <c r="A39" s="179">
        <v>2202</v>
      </c>
      <c r="B39" s="179">
        <v>13</v>
      </c>
      <c r="C39" s="180" t="str">
        <f>IF(ISNA(VLOOKUP(B39,Master!AQ$59:BC$106,3,FALSE)),"",VLOOKUP(B39,Master!AQ$59:BC$106,3,FALSE))</f>
        <v/>
      </c>
      <c r="D39" s="181" t="str">
        <f>IF(ISNA(VLOOKUP(B39,Master!AQ$59:BC$106,7,FALSE)),"",VLOOKUP(B39,Master!AQ$59:BC$106,7,FALSE))</f>
        <v/>
      </c>
      <c r="E39" s="182" t="str">
        <f>IF(ISNA(VLOOKUP(B39,Master!AQ$59:BC$106,8,FALSE)),"",VLOOKUP(B39,Master!AQ$59:BC$106,8,FALSE))</f>
        <v/>
      </c>
      <c r="F39" s="183" t="str">
        <f>IF(ISNA(VLOOKUP(B39,Master!AQ$59:BC$106,4,FALSE)),"",VLOOKUP(B39,Master!AQ$59:BC$106,4,FALSE))</f>
        <v/>
      </c>
      <c r="G39" s="184" t="str">
        <f>IF(ISNA(VLOOKUP(B39,Master!AQ$59:BC$106,5,FALSE)),"",VLOOKUP(B39,Master!AQ$59:BC$106,5,FALSE))</f>
        <v/>
      </c>
      <c r="H39" s="185" t="str">
        <f>IF(ISNA(VLOOKUP(B39,Master!AQ$59:BC$106,6,FALSE)),"",VLOOKUP(B39,Master!AQ$59:BC$106,6,FALSE))</f>
        <v/>
      </c>
      <c r="I39" s="179" t="str">
        <f t="shared" si="82"/>
        <v/>
      </c>
      <c r="J39" s="181" t="str">
        <f t="shared" ca="1" si="83"/>
        <v/>
      </c>
      <c r="K39" s="179" t="str">
        <f t="shared" si="84"/>
        <v/>
      </c>
      <c r="L39" s="179" t="str">
        <f t="shared" si="85"/>
        <v/>
      </c>
      <c r="M39" s="179" t="str">
        <f t="shared" si="86"/>
        <v/>
      </c>
      <c r="N39" s="268" t="str">
        <f>IF(ISNA(VLOOKUP(B39,Master!AQ$59:BC$106,12,FALSE)),"",VLOOKUP(B39,Master!AQ$59:BC$106,12,FALSE))</f>
        <v/>
      </c>
      <c r="O39" s="262"/>
      <c r="P39" s="262"/>
      <c r="Q39" s="262"/>
      <c r="R39" s="262">
        <f t="shared" si="87"/>
        <v>0</v>
      </c>
      <c r="S39" s="102">
        <f t="shared" si="103"/>
        <v>1</v>
      </c>
      <c r="T39" s="1" t="str">
        <f>IF(ISNA(VLOOKUP(B39,Master!AQ$59:BC$106,10,FALSE)),"",VLOOKUP(B39,Master!AQ$59:BC$106,10,FALSE))</f>
        <v/>
      </c>
      <c r="U39" s="127"/>
      <c r="V39" s="127"/>
      <c r="W39" s="128" t="str">
        <f>IF(ISNA(VLOOKUP(B39,Master!AQ$59:BC$106,11,FALSE)),"",VLOOKUP(B39,Master!AQ$59:BC$106,11,FALSE))</f>
        <v/>
      </c>
      <c r="X39" s="128" t="str">
        <f>IF(ISNA(VLOOKUP(B39,Master!AQ$59:BC$106,9,FALSE)),"",VLOOKUP(B39,Master!AQ$59:BC$106,9,FALSE))</f>
        <v/>
      </c>
      <c r="Y39" s="129">
        <f t="shared" si="55"/>
        <v>0</v>
      </c>
      <c r="Z39" s="129">
        <f t="shared" si="56"/>
        <v>0</v>
      </c>
      <c r="AA39" s="129">
        <f t="shared" si="57"/>
        <v>0</v>
      </c>
      <c r="AB39" s="129">
        <f t="shared" si="58"/>
        <v>0</v>
      </c>
      <c r="AC39" s="129">
        <f t="shared" si="59"/>
        <v>0</v>
      </c>
      <c r="AD39" s="129">
        <f t="shared" si="60"/>
        <v>0</v>
      </c>
      <c r="AE39" s="130" t="str">
        <f t="shared" si="88"/>
        <v/>
      </c>
      <c r="AF39" s="130" t="str">
        <f t="shared" si="89"/>
        <v/>
      </c>
      <c r="AG39" s="130" t="str">
        <f t="shared" si="90"/>
        <v/>
      </c>
      <c r="AH39" s="130" t="str">
        <f t="shared" si="91"/>
        <v/>
      </c>
      <c r="AI39" s="130" t="str">
        <f t="shared" si="92"/>
        <v/>
      </c>
      <c r="AJ39" s="128" t="str">
        <f t="shared" si="93"/>
        <v/>
      </c>
      <c r="AK39" s="128">
        <v>0</v>
      </c>
      <c r="AL39" s="129">
        <v>0</v>
      </c>
      <c r="AM39" s="128" t="str">
        <f t="shared" si="94"/>
        <v/>
      </c>
      <c r="AN39" s="129">
        <f t="shared" si="61"/>
        <v>0</v>
      </c>
      <c r="AO39" s="128">
        <f t="shared" si="48"/>
        <v>0</v>
      </c>
      <c r="AP39" s="128">
        <f t="shared" si="62"/>
        <v>0</v>
      </c>
      <c r="AQ39" s="128">
        <f t="shared" si="63"/>
        <v>0</v>
      </c>
      <c r="AR39" s="128">
        <f t="shared" si="64"/>
        <v>0</v>
      </c>
      <c r="AS39" s="130">
        <f t="shared" si="65"/>
        <v>0</v>
      </c>
      <c r="AT39" s="130">
        <f t="shared" si="66"/>
        <v>0</v>
      </c>
      <c r="AU39" s="128"/>
      <c r="AV39" s="128"/>
      <c r="AW39" s="130">
        <f t="shared" si="95"/>
        <v>0</v>
      </c>
      <c r="AX39" s="130">
        <f t="shared" si="67"/>
        <v>0</v>
      </c>
      <c r="AY39" s="130">
        <f t="shared" si="68"/>
        <v>0</v>
      </c>
      <c r="AZ39" s="130">
        <f t="shared" si="69"/>
        <v>0</v>
      </c>
      <c r="BA39" s="130">
        <f t="shared" si="70"/>
        <v>0</v>
      </c>
      <c r="BB39" s="128">
        <f t="shared" si="96"/>
        <v>0</v>
      </c>
      <c r="BC39" s="128">
        <f t="shared" si="71"/>
        <v>0</v>
      </c>
      <c r="BD39" s="129">
        <v>0</v>
      </c>
      <c r="BE39" s="128">
        <f t="shared" si="97"/>
        <v>0</v>
      </c>
      <c r="BF39" s="129">
        <f t="shared" si="72"/>
        <v>0</v>
      </c>
      <c r="BG39" s="128">
        <f t="shared" si="49"/>
        <v>0</v>
      </c>
      <c r="BH39" s="128">
        <f t="shared" si="73"/>
        <v>0</v>
      </c>
      <c r="BI39" s="128">
        <f t="shared" si="74"/>
        <v>0</v>
      </c>
      <c r="BJ39" s="128">
        <f t="shared" si="75"/>
        <v>0</v>
      </c>
      <c r="BK39" s="130">
        <f t="shared" si="98"/>
        <v>0</v>
      </c>
      <c r="BL39" s="130">
        <f t="shared" si="99"/>
        <v>0</v>
      </c>
      <c r="BM39" s="128"/>
      <c r="BN39" s="128"/>
      <c r="BO39" s="130">
        <f t="shared" si="100"/>
        <v>0</v>
      </c>
      <c r="BP39" s="124">
        <f t="shared" si="76"/>
        <v>0</v>
      </c>
      <c r="BQ39" s="124">
        <f t="shared" si="77"/>
        <v>1</v>
      </c>
      <c r="BR39" s="124">
        <f t="shared" si="78"/>
        <v>0</v>
      </c>
      <c r="BS39" s="124">
        <f t="shared" si="79"/>
        <v>0</v>
      </c>
      <c r="BT39" s="124">
        <f t="shared" si="50"/>
        <v>0</v>
      </c>
      <c r="BU39" s="124">
        <f t="shared" si="101"/>
        <v>1</v>
      </c>
      <c r="BV39" s="110">
        <f t="shared" si="80"/>
        <v>0</v>
      </c>
      <c r="BW39" s="131">
        <f t="shared" si="102"/>
        <v>1</v>
      </c>
      <c r="BX39" s="110">
        <f t="shared" si="52"/>
        <v>0</v>
      </c>
      <c r="BY39" s="110">
        <f t="shared" si="53"/>
        <v>0</v>
      </c>
      <c r="BZ39" s="99" t="str">
        <f t="shared" si="81"/>
        <v/>
      </c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Z39" s="99"/>
    </row>
    <row r="40" spans="1:104" s="126" customFormat="1" ht="18.75">
      <c r="A40" s="179">
        <v>2202</v>
      </c>
      <c r="B40" s="179">
        <v>14</v>
      </c>
      <c r="C40" s="180" t="str">
        <f>IF(ISNA(VLOOKUP(B40,Master!AQ$59:BC$106,3,FALSE)),"",VLOOKUP(B40,Master!AQ$59:BC$106,3,FALSE))</f>
        <v/>
      </c>
      <c r="D40" s="181" t="str">
        <f>IF(ISNA(VLOOKUP(B40,Master!AQ$59:BC$106,7,FALSE)),"",VLOOKUP(B40,Master!AQ$59:BC$106,7,FALSE))</f>
        <v/>
      </c>
      <c r="E40" s="182" t="str">
        <f>IF(ISNA(VLOOKUP(B40,Master!AQ$59:BC$106,8,FALSE)),"",VLOOKUP(B40,Master!AQ$59:BC$106,8,FALSE))</f>
        <v/>
      </c>
      <c r="F40" s="183" t="str">
        <f>IF(ISNA(VLOOKUP(B40,Master!AQ$59:BC$106,4,FALSE)),"",VLOOKUP(B40,Master!AQ$59:BC$106,4,FALSE))</f>
        <v/>
      </c>
      <c r="G40" s="184" t="str">
        <f>IF(ISNA(VLOOKUP(B40,Master!AQ$59:BC$106,5,FALSE)),"",VLOOKUP(B40,Master!AQ$59:BC$106,5,FALSE))</f>
        <v/>
      </c>
      <c r="H40" s="185" t="str">
        <f>IF(ISNA(VLOOKUP(B40,Master!AQ$59:BC$106,6,FALSE)),"",VLOOKUP(B40,Master!AQ$59:BC$106,6,FALSE))</f>
        <v/>
      </c>
      <c r="I40" s="179" t="str">
        <f t="shared" si="82"/>
        <v/>
      </c>
      <c r="J40" s="181" t="str">
        <f t="shared" ca="1" si="83"/>
        <v/>
      </c>
      <c r="K40" s="179" t="str">
        <f t="shared" si="84"/>
        <v/>
      </c>
      <c r="L40" s="179" t="str">
        <f t="shared" si="85"/>
        <v/>
      </c>
      <c r="M40" s="179" t="str">
        <f t="shared" si="86"/>
        <v/>
      </c>
      <c r="N40" s="268" t="str">
        <f>IF(ISNA(VLOOKUP(B40,Master!AQ$59:BC$106,12,FALSE)),"",VLOOKUP(B40,Master!AQ$59:BC$106,12,FALSE))</f>
        <v/>
      </c>
      <c r="O40" s="262"/>
      <c r="P40" s="262"/>
      <c r="Q40" s="262"/>
      <c r="R40" s="262">
        <f t="shared" si="87"/>
        <v>0</v>
      </c>
      <c r="S40" s="102">
        <f t="shared" si="103"/>
        <v>1</v>
      </c>
      <c r="T40" s="1" t="str">
        <f>IF(ISNA(VLOOKUP(B40,Master!AQ$59:BC$106,10,FALSE)),"",VLOOKUP(B40,Master!AQ$59:BC$106,10,FALSE))</f>
        <v/>
      </c>
      <c r="U40" s="127"/>
      <c r="V40" s="127"/>
      <c r="W40" s="128" t="str">
        <f>IF(ISNA(VLOOKUP(B40,Master!AQ$59:BC$106,11,FALSE)),"",VLOOKUP(B40,Master!AQ$59:BC$106,11,FALSE))</f>
        <v/>
      </c>
      <c r="X40" s="128" t="str">
        <f>IF(ISNA(VLOOKUP(B40,Master!AQ$59:BC$106,9,FALSE)),"",VLOOKUP(B40,Master!AQ$59:BC$106,9,FALSE))</f>
        <v/>
      </c>
      <c r="Y40" s="129">
        <f t="shared" si="55"/>
        <v>0</v>
      </c>
      <c r="Z40" s="129">
        <f t="shared" si="56"/>
        <v>0</v>
      </c>
      <c r="AA40" s="129">
        <f t="shared" si="57"/>
        <v>0</v>
      </c>
      <c r="AB40" s="129">
        <f t="shared" si="58"/>
        <v>0</v>
      </c>
      <c r="AC40" s="129">
        <f t="shared" si="59"/>
        <v>0</v>
      </c>
      <c r="AD40" s="129">
        <f t="shared" si="60"/>
        <v>0</v>
      </c>
      <c r="AE40" s="130" t="str">
        <f t="shared" si="88"/>
        <v/>
      </c>
      <c r="AF40" s="130" t="str">
        <f t="shared" si="89"/>
        <v/>
      </c>
      <c r="AG40" s="130" t="str">
        <f t="shared" si="90"/>
        <v/>
      </c>
      <c r="AH40" s="130" t="str">
        <f t="shared" si="91"/>
        <v/>
      </c>
      <c r="AI40" s="130" t="str">
        <f t="shared" si="92"/>
        <v/>
      </c>
      <c r="AJ40" s="128" t="str">
        <f t="shared" si="93"/>
        <v/>
      </c>
      <c r="AK40" s="128">
        <v>0</v>
      </c>
      <c r="AL40" s="129">
        <v>0</v>
      </c>
      <c r="AM40" s="128" t="str">
        <f t="shared" si="94"/>
        <v/>
      </c>
      <c r="AN40" s="129">
        <f t="shared" si="61"/>
        <v>0</v>
      </c>
      <c r="AO40" s="128">
        <f t="shared" si="48"/>
        <v>0</v>
      </c>
      <c r="AP40" s="128">
        <f t="shared" si="62"/>
        <v>0</v>
      </c>
      <c r="AQ40" s="128">
        <f t="shared" si="63"/>
        <v>0</v>
      </c>
      <c r="AR40" s="128">
        <f t="shared" si="64"/>
        <v>0</v>
      </c>
      <c r="AS40" s="130">
        <f t="shared" si="65"/>
        <v>0</v>
      </c>
      <c r="AT40" s="130">
        <f t="shared" si="66"/>
        <v>0</v>
      </c>
      <c r="AU40" s="128"/>
      <c r="AV40" s="128"/>
      <c r="AW40" s="130">
        <f t="shared" si="95"/>
        <v>0</v>
      </c>
      <c r="AX40" s="130">
        <f t="shared" si="67"/>
        <v>0</v>
      </c>
      <c r="AY40" s="130">
        <f t="shared" si="68"/>
        <v>0</v>
      </c>
      <c r="AZ40" s="130">
        <f t="shared" si="69"/>
        <v>0</v>
      </c>
      <c r="BA40" s="130">
        <f t="shared" si="70"/>
        <v>0</v>
      </c>
      <c r="BB40" s="128">
        <f t="shared" si="96"/>
        <v>0</v>
      </c>
      <c r="BC40" s="128">
        <f t="shared" si="71"/>
        <v>0</v>
      </c>
      <c r="BD40" s="129">
        <v>0</v>
      </c>
      <c r="BE40" s="128">
        <f t="shared" si="97"/>
        <v>0</v>
      </c>
      <c r="BF40" s="129">
        <f t="shared" si="72"/>
        <v>0</v>
      </c>
      <c r="BG40" s="128">
        <f t="shared" si="49"/>
        <v>0</v>
      </c>
      <c r="BH40" s="128">
        <f t="shared" si="73"/>
        <v>0</v>
      </c>
      <c r="BI40" s="128">
        <f t="shared" si="74"/>
        <v>0</v>
      </c>
      <c r="BJ40" s="128">
        <f t="shared" si="75"/>
        <v>0</v>
      </c>
      <c r="BK40" s="130">
        <f t="shared" si="98"/>
        <v>0</v>
      </c>
      <c r="BL40" s="130">
        <f t="shared" si="99"/>
        <v>0</v>
      </c>
      <c r="BM40" s="128"/>
      <c r="BN40" s="128"/>
      <c r="BO40" s="130">
        <f t="shared" si="100"/>
        <v>0</v>
      </c>
      <c r="BP40" s="124">
        <f t="shared" si="76"/>
        <v>0</v>
      </c>
      <c r="BQ40" s="124">
        <f t="shared" si="77"/>
        <v>1</v>
      </c>
      <c r="BR40" s="124">
        <f t="shared" si="78"/>
        <v>0</v>
      </c>
      <c r="BS40" s="124">
        <f t="shared" si="79"/>
        <v>0</v>
      </c>
      <c r="BT40" s="124">
        <f t="shared" si="50"/>
        <v>0</v>
      </c>
      <c r="BU40" s="124">
        <f t="shared" si="101"/>
        <v>1</v>
      </c>
      <c r="BV40" s="110">
        <f t="shared" si="80"/>
        <v>0</v>
      </c>
      <c r="BW40" s="131">
        <f t="shared" si="102"/>
        <v>1</v>
      </c>
      <c r="BX40" s="110">
        <f t="shared" si="52"/>
        <v>0</v>
      </c>
      <c r="BY40" s="110">
        <f t="shared" si="53"/>
        <v>0</v>
      </c>
      <c r="BZ40" s="99" t="str">
        <f t="shared" si="81"/>
        <v/>
      </c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Z40" s="99"/>
    </row>
    <row r="41" spans="1:104" s="126" customFormat="1" ht="18.75">
      <c r="A41" s="179">
        <v>2202</v>
      </c>
      <c r="B41" s="179">
        <v>15</v>
      </c>
      <c r="C41" s="180" t="str">
        <f>IF(ISNA(VLOOKUP(B41,Master!AQ$59:BC$106,3,FALSE)),"",VLOOKUP(B41,Master!AQ$59:BC$106,3,FALSE))</f>
        <v/>
      </c>
      <c r="D41" s="181" t="str">
        <f>IF(ISNA(VLOOKUP(B41,Master!AQ$59:BC$106,7,FALSE)),"",VLOOKUP(B41,Master!AQ$59:BC$106,7,FALSE))</f>
        <v/>
      </c>
      <c r="E41" s="182" t="str">
        <f>IF(ISNA(VLOOKUP(B41,Master!AQ$59:BC$106,8,FALSE)),"",VLOOKUP(B41,Master!AQ$59:BC$106,8,FALSE))</f>
        <v/>
      </c>
      <c r="F41" s="183" t="str">
        <f>IF(ISNA(VLOOKUP(B41,Master!AQ$59:BC$106,4,FALSE)),"",VLOOKUP(B41,Master!AQ$59:BC$106,4,FALSE))</f>
        <v/>
      </c>
      <c r="G41" s="184" t="str">
        <f>IF(ISNA(VLOOKUP(B41,Master!AQ$59:BC$106,5,FALSE)),"",VLOOKUP(B41,Master!AQ$59:BC$106,5,FALSE))</f>
        <v/>
      </c>
      <c r="H41" s="185" t="str">
        <f>IF(ISNA(VLOOKUP(B41,Master!AQ$59:BC$106,6,FALSE)),"",VLOOKUP(B41,Master!AQ$59:BC$106,6,FALSE))</f>
        <v/>
      </c>
      <c r="I41" s="179" t="str">
        <f t="shared" si="82"/>
        <v/>
      </c>
      <c r="J41" s="181" t="str">
        <f t="shared" ca="1" si="83"/>
        <v/>
      </c>
      <c r="K41" s="179" t="str">
        <f t="shared" si="84"/>
        <v/>
      </c>
      <c r="L41" s="179" t="str">
        <f t="shared" si="85"/>
        <v/>
      </c>
      <c r="M41" s="179" t="str">
        <f t="shared" si="86"/>
        <v/>
      </c>
      <c r="N41" s="268" t="str">
        <f>IF(ISNA(VLOOKUP(B41,Master!AQ$59:BC$106,12,FALSE)),"",VLOOKUP(B41,Master!AQ$59:BC$106,12,FALSE))</f>
        <v/>
      </c>
      <c r="O41" s="262"/>
      <c r="P41" s="262"/>
      <c r="Q41" s="262"/>
      <c r="R41" s="262">
        <f t="shared" si="87"/>
        <v>0</v>
      </c>
      <c r="S41" s="102">
        <f t="shared" si="103"/>
        <v>1</v>
      </c>
      <c r="T41" s="1" t="str">
        <f>IF(ISNA(VLOOKUP(B41,Master!AQ$59:BC$106,10,FALSE)),"",VLOOKUP(B41,Master!AQ$59:BC$106,10,FALSE))</f>
        <v/>
      </c>
      <c r="U41" s="127"/>
      <c r="V41" s="127"/>
      <c r="W41" s="128" t="str">
        <f>IF(ISNA(VLOOKUP(B41,Master!AQ$59:BC$106,11,FALSE)),"",VLOOKUP(B41,Master!AQ$59:BC$106,11,FALSE))</f>
        <v/>
      </c>
      <c r="X41" s="128" t="str">
        <f>IF(ISNA(VLOOKUP(B41,Master!AQ$59:BC$106,9,FALSE)),"",VLOOKUP(B41,Master!AQ$59:BC$106,9,FALSE))</f>
        <v/>
      </c>
      <c r="Y41" s="129">
        <f t="shared" si="55"/>
        <v>0</v>
      </c>
      <c r="Z41" s="129">
        <f t="shared" si="56"/>
        <v>0</v>
      </c>
      <c r="AA41" s="129">
        <f t="shared" si="57"/>
        <v>0</v>
      </c>
      <c r="AB41" s="129">
        <f t="shared" si="58"/>
        <v>0</v>
      </c>
      <c r="AC41" s="129">
        <f t="shared" si="59"/>
        <v>0</v>
      </c>
      <c r="AD41" s="129">
        <f t="shared" si="60"/>
        <v>0</v>
      </c>
      <c r="AE41" s="130" t="str">
        <f t="shared" si="88"/>
        <v/>
      </c>
      <c r="AF41" s="130" t="str">
        <f t="shared" si="89"/>
        <v/>
      </c>
      <c r="AG41" s="130" t="str">
        <f t="shared" si="90"/>
        <v/>
      </c>
      <c r="AH41" s="130" t="str">
        <f t="shared" si="91"/>
        <v/>
      </c>
      <c r="AI41" s="130" t="str">
        <f t="shared" si="92"/>
        <v/>
      </c>
      <c r="AJ41" s="128" t="str">
        <f t="shared" si="93"/>
        <v/>
      </c>
      <c r="AK41" s="128">
        <v>0</v>
      </c>
      <c r="AL41" s="129">
        <v>0</v>
      </c>
      <c r="AM41" s="128" t="str">
        <f t="shared" si="94"/>
        <v/>
      </c>
      <c r="AN41" s="129">
        <f t="shared" si="61"/>
        <v>0</v>
      </c>
      <c r="AO41" s="128">
        <f t="shared" si="48"/>
        <v>0</v>
      </c>
      <c r="AP41" s="128">
        <f t="shared" si="62"/>
        <v>0</v>
      </c>
      <c r="AQ41" s="128">
        <f t="shared" si="63"/>
        <v>0</v>
      </c>
      <c r="AR41" s="128">
        <f t="shared" si="64"/>
        <v>0</v>
      </c>
      <c r="AS41" s="130">
        <f t="shared" si="65"/>
        <v>0</v>
      </c>
      <c r="AT41" s="130">
        <f t="shared" si="66"/>
        <v>0</v>
      </c>
      <c r="AU41" s="128"/>
      <c r="AV41" s="128"/>
      <c r="AW41" s="130">
        <f t="shared" si="95"/>
        <v>0</v>
      </c>
      <c r="AX41" s="130">
        <f t="shared" si="67"/>
        <v>0</v>
      </c>
      <c r="AY41" s="130">
        <f t="shared" si="68"/>
        <v>0</v>
      </c>
      <c r="AZ41" s="130">
        <f t="shared" si="69"/>
        <v>0</v>
      </c>
      <c r="BA41" s="130">
        <f t="shared" si="70"/>
        <v>0</v>
      </c>
      <c r="BB41" s="128">
        <f t="shared" si="96"/>
        <v>0</v>
      </c>
      <c r="BC41" s="128">
        <f t="shared" si="71"/>
        <v>0</v>
      </c>
      <c r="BD41" s="129">
        <v>0</v>
      </c>
      <c r="BE41" s="128">
        <f t="shared" si="97"/>
        <v>0</v>
      </c>
      <c r="BF41" s="129">
        <f t="shared" si="72"/>
        <v>0</v>
      </c>
      <c r="BG41" s="128">
        <f t="shared" si="49"/>
        <v>0</v>
      </c>
      <c r="BH41" s="128">
        <f t="shared" si="73"/>
        <v>0</v>
      </c>
      <c r="BI41" s="128">
        <f t="shared" si="74"/>
        <v>0</v>
      </c>
      <c r="BJ41" s="128">
        <f t="shared" si="75"/>
        <v>0</v>
      </c>
      <c r="BK41" s="130">
        <f t="shared" si="98"/>
        <v>0</v>
      </c>
      <c r="BL41" s="130">
        <f t="shared" si="99"/>
        <v>0</v>
      </c>
      <c r="BM41" s="128"/>
      <c r="BN41" s="128"/>
      <c r="BO41" s="130">
        <f t="shared" si="100"/>
        <v>0</v>
      </c>
      <c r="BP41" s="124">
        <f t="shared" si="76"/>
        <v>0</v>
      </c>
      <c r="BQ41" s="124">
        <f t="shared" si="77"/>
        <v>1</v>
      </c>
      <c r="BR41" s="124">
        <f t="shared" si="78"/>
        <v>0</v>
      </c>
      <c r="BS41" s="124">
        <f t="shared" si="79"/>
        <v>0</v>
      </c>
      <c r="BT41" s="124">
        <f t="shared" si="50"/>
        <v>0</v>
      </c>
      <c r="BU41" s="124">
        <f t="shared" si="101"/>
        <v>1</v>
      </c>
      <c r="BV41" s="110">
        <f t="shared" si="80"/>
        <v>0</v>
      </c>
      <c r="BW41" s="131">
        <f t="shared" si="102"/>
        <v>1</v>
      </c>
      <c r="BX41" s="110">
        <f t="shared" si="52"/>
        <v>0</v>
      </c>
      <c r="BY41" s="110">
        <f t="shared" si="53"/>
        <v>0</v>
      </c>
      <c r="BZ41" s="99" t="str">
        <f t="shared" si="81"/>
        <v/>
      </c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Z41" s="99"/>
    </row>
    <row r="42" spans="1:104" s="126" customFormat="1" ht="18.75">
      <c r="A42" s="179">
        <v>2202</v>
      </c>
      <c r="B42" s="179">
        <v>16</v>
      </c>
      <c r="C42" s="180" t="str">
        <f>IF(ISNA(VLOOKUP(B42,Master!AQ$59:BC$106,3,FALSE)),"",VLOOKUP(B42,Master!AQ$59:BC$106,3,FALSE))</f>
        <v/>
      </c>
      <c r="D42" s="181" t="str">
        <f>IF(ISNA(VLOOKUP(B42,Master!AQ$59:BC$106,7,FALSE)),"",VLOOKUP(B42,Master!AQ$59:BC$106,7,FALSE))</f>
        <v/>
      </c>
      <c r="E42" s="182" t="str">
        <f>IF(ISNA(VLOOKUP(B42,Master!AQ$59:BC$106,8,FALSE)),"",VLOOKUP(B42,Master!AQ$59:BC$106,8,FALSE))</f>
        <v/>
      </c>
      <c r="F42" s="183" t="str">
        <f>IF(ISNA(VLOOKUP(B42,Master!AQ$59:BC$106,4,FALSE)),"",VLOOKUP(B42,Master!AQ$59:BC$106,4,FALSE))</f>
        <v/>
      </c>
      <c r="G42" s="184" t="str">
        <f>IF(ISNA(VLOOKUP(B42,Master!AQ$59:BC$106,5,FALSE)),"",VLOOKUP(B42,Master!AQ$59:BC$106,5,FALSE))</f>
        <v/>
      </c>
      <c r="H42" s="185" t="str">
        <f>IF(ISNA(VLOOKUP(B42,Master!AQ$59:BC$106,6,FALSE)),"",VLOOKUP(B42,Master!AQ$59:BC$106,6,FALSE))</f>
        <v/>
      </c>
      <c r="I42" s="179" t="str">
        <f t="shared" si="82"/>
        <v/>
      </c>
      <c r="J42" s="181" t="str">
        <f t="shared" ca="1" si="83"/>
        <v/>
      </c>
      <c r="K42" s="179" t="str">
        <f t="shared" si="84"/>
        <v/>
      </c>
      <c r="L42" s="179" t="str">
        <f t="shared" si="85"/>
        <v/>
      </c>
      <c r="M42" s="179" t="str">
        <f t="shared" si="86"/>
        <v/>
      </c>
      <c r="N42" s="268" t="str">
        <f>IF(ISNA(VLOOKUP(B42,Master!AQ$59:BC$106,12,FALSE)),"",VLOOKUP(B42,Master!AQ$59:BC$106,12,FALSE))</f>
        <v/>
      </c>
      <c r="O42" s="262"/>
      <c r="P42" s="262"/>
      <c r="Q42" s="262"/>
      <c r="R42" s="262">
        <f t="shared" si="87"/>
        <v>0</v>
      </c>
      <c r="S42" s="102">
        <f t="shared" si="103"/>
        <v>1</v>
      </c>
      <c r="T42" s="1" t="str">
        <f>IF(ISNA(VLOOKUP(B42,Master!AQ$59:BC$106,10,FALSE)),"",VLOOKUP(B42,Master!AQ$59:BC$106,10,FALSE))</f>
        <v/>
      </c>
      <c r="U42" s="127"/>
      <c r="V42" s="127"/>
      <c r="W42" s="128" t="str">
        <f>IF(ISNA(VLOOKUP(B42,Master!AQ$59:BC$106,11,FALSE)),"",VLOOKUP(B42,Master!AQ$59:BC$106,11,FALSE))</f>
        <v/>
      </c>
      <c r="X42" s="128" t="str">
        <f>IF(ISNA(VLOOKUP(B42,Master!AQ$59:BC$106,9,FALSE)),"",VLOOKUP(B42,Master!AQ$59:BC$106,9,FALSE))</f>
        <v/>
      </c>
      <c r="Y42" s="129">
        <f t="shared" si="55"/>
        <v>0</v>
      </c>
      <c r="Z42" s="129">
        <f t="shared" si="56"/>
        <v>0</v>
      </c>
      <c r="AA42" s="129">
        <f t="shared" si="57"/>
        <v>0</v>
      </c>
      <c r="AB42" s="129">
        <f t="shared" si="58"/>
        <v>0</v>
      </c>
      <c r="AC42" s="129">
        <f t="shared" si="59"/>
        <v>0</v>
      </c>
      <c r="AD42" s="129">
        <f t="shared" si="60"/>
        <v>0</v>
      </c>
      <c r="AE42" s="130" t="str">
        <f t="shared" si="88"/>
        <v/>
      </c>
      <c r="AF42" s="130" t="str">
        <f t="shared" si="89"/>
        <v/>
      </c>
      <c r="AG42" s="130" t="str">
        <f t="shared" si="90"/>
        <v/>
      </c>
      <c r="AH42" s="130" t="str">
        <f t="shared" si="91"/>
        <v/>
      </c>
      <c r="AI42" s="130" t="str">
        <f t="shared" si="92"/>
        <v/>
      </c>
      <c r="AJ42" s="128" t="str">
        <f t="shared" si="93"/>
        <v/>
      </c>
      <c r="AK42" s="128">
        <v>0</v>
      </c>
      <c r="AL42" s="129">
        <v>0</v>
      </c>
      <c r="AM42" s="128" t="str">
        <f t="shared" si="94"/>
        <v/>
      </c>
      <c r="AN42" s="129">
        <f t="shared" si="61"/>
        <v>0</v>
      </c>
      <c r="AO42" s="128">
        <f t="shared" si="48"/>
        <v>0</v>
      </c>
      <c r="AP42" s="128">
        <f t="shared" si="62"/>
        <v>0</v>
      </c>
      <c r="AQ42" s="128">
        <f t="shared" si="63"/>
        <v>0</v>
      </c>
      <c r="AR42" s="128">
        <f t="shared" si="64"/>
        <v>0</v>
      </c>
      <c r="AS42" s="130">
        <f t="shared" si="65"/>
        <v>0</v>
      </c>
      <c r="AT42" s="130">
        <f t="shared" si="66"/>
        <v>0</v>
      </c>
      <c r="AU42" s="128"/>
      <c r="AV42" s="128"/>
      <c r="AW42" s="130">
        <f t="shared" si="95"/>
        <v>0</v>
      </c>
      <c r="AX42" s="130">
        <f t="shared" si="67"/>
        <v>0</v>
      </c>
      <c r="AY42" s="130">
        <f t="shared" si="68"/>
        <v>0</v>
      </c>
      <c r="AZ42" s="130">
        <f t="shared" si="69"/>
        <v>0</v>
      </c>
      <c r="BA42" s="130">
        <f t="shared" si="70"/>
        <v>0</v>
      </c>
      <c r="BB42" s="128">
        <f t="shared" si="96"/>
        <v>0</v>
      </c>
      <c r="BC42" s="128">
        <f t="shared" si="71"/>
        <v>0</v>
      </c>
      <c r="BD42" s="129">
        <v>0</v>
      </c>
      <c r="BE42" s="128">
        <f t="shared" si="97"/>
        <v>0</v>
      </c>
      <c r="BF42" s="129">
        <f t="shared" si="72"/>
        <v>0</v>
      </c>
      <c r="BG42" s="128">
        <f t="shared" si="49"/>
        <v>0</v>
      </c>
      <c r="BH42" s="128">
        <f t="shared" si="73"/>
        <v>0</v>
      </c>
      <c r="BI42" s="128">
        <f t="shared" si="74"/>
        <v>0</v>
      </c>
      <c r="BJ42" s="128">
        <f t="shared" si="75"/>
        <v>0</v>
      </c>
      <c r="BK42" s="130">
        <f t="shared" si="98"/>
        <v>0</v>
      </c>
      <c r="BL42" s="130">
        <f t="shared" si="99"/>
        <v>0</v>
      </c>
      <c r="BM42" s="128"/>
      <c r="BN42" s="128"/>
      <c r="BO42" s="130">
        <f t="shared" si="100"/>
        <v>0</v>
      </c>
      <c r="BP42" s="124">
        <f t="shared" si="76"/>
        <v>0</v>
      </c>
      <c r="BQ42" s="124">
        <f t="shared" si="77"/>
        <v>1</v>
      </c>
      <c r="BR42" s="124">
        <f t="shared" si="78"/>
        <v>0</v>
      </c>
      <c r="BS42" s="124">
        <f t="shared" si="79"/>
        <v>0</v>
      </c>
      <c r="BT42" s="124">
        <f t="shared" si="50"/>
        <v>0</v>
      </c>
      <c r="BU42" s="124">
        <f t="shared" si="101"/>
        <v>1</v>
      </c>
      <c r="BV42" s="110">
        <f t="shared" si="80"/>
        <v>0</v>
      </c>
      <c r="BW42" s="131">
        <f t="shared" si="102"/>
        <v>1</v>
      </c>
      <c r="BX42" s="110">
        <f t="shared" si="52"/>
        <v>0</v>
      </c>
      <c r="BY42" s="110">
        <f t="shared" si="53"/>
        <v>0</v>
      </c>
      <c r="BZ42" s="99" t="str">
        <f t="shared" si="81"/>
        <v/>
      </c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Z42" s="99"/>
    </row>
    <row r="43" spans="1:104" s="126" customFormat="1" ht="18.75">
      <c r="A43" s="179">
        <v>2202</v>
      </c>
      <c r="B43" s="179">
        <v>17</v>
      </c>
      <c r="C43" s="180" t="str">
        <f>IF(ISNA(VLOOKUP(B43,Master!AQ$59:BC$106,3,FALSE)),"",VLOOKUP(B43,Master!AQ$59:BC$106,3,FALSE))</f>
        <v/>
      </c>
      <c r="D43" s="181" t="str">
        <f>IF(ISNA(VLOOKUP(B43,Master!AQ$59:BC$106,7,FALSE)),"",VLOOKUP(B43,Master!AQ$59:BC$106,7,FALSE))</f>
        <v/>
      </c>
      <c r="E43" s="182" t="str">
        <f>IF(ISNA(VLOOKUP(B43,Master!AQ$59:BC$106,8,FALSE)),"",VLOOKUP(B43,Master!AQ$59:BC$106,8,FALSE))</f>
        <v/>
      </c>
      <c r="F43" s="183" t="str">
        <f>IF(ISNA(VLOOKUP(B43,Master!AQ$59:BC$106,4,FALSE)),"",VLOOKUP(B43,Master!AQ$59:BC$106,4,FALSE))</f>
        <v/>
      </c>
      <c r="G43" s="184" t="str">
        <f>IF(ISNA(VLOOKUP(B43,Master!AQ$59:BC$106,5,FALSE)),"",VLOOKUP(B43,Master!AQ$59:BC$106,5,FALSE))</f>
        <v/>
      </c>
      <c r="H43" s="185" t="str">
        <f>IF(ISNA(VLOOKUP(B43,Master!AQ$59:BC$106,6,FALSE)),"",VLOOKUP(B43,Master!AQ$59:BC$106,6,FALSE))</f>
        <v/>
      </c>
      <c r="I43" s="179" t="str">
        <f t="shared" si="82"/>
        <v/>
      </c>
      <c r="J43" s="181" t="str">
        <f t="shared" ca="1" si="83"/>
        <v/>
      </c>
      <c r="K43" s="179" t="str">
        <f t="shared" si="84"/>
        <v/>
      </c>
      <c r="L43" s="179" t="str">
        <f t="shared" si="85"/>
        <v/>
      </c>
      <c r="M43" s="179" t="str">
        <f t="shared" si="86"/>
        <v/>
      </c>
      <c r="N43" s="268" t="str">
        <f>IF(ISNA(VLOOKUP(B43,Master!AQ$59:BC$106,12,FALSE)),"",VLOOKUP(B43,Master!AQ$59:BC$106,12,FALSE))</f>
        <v/>
      </c>
      <c r="O43" s="262"/>
      <c r="P43" s="262"/>
      <c r="Q43" s="262"/>
      <c r="R43" s="262">
        <f t="shared" si="87"/>
        <v>0</v>
      </c>
      <c r="S43" s="102">
        <f t="shared" si="103"/>
        <v>1</v>
      </c>
      <c r="T43" s="1" t="str">
        <f>IF(ISNA(VLOOKUP(B43,Master!AQ$59:BC$106,10,FALSE)),"",VLOOKUP(B43,Master!AQ$59:BC$106,10,FALSE))</f>
        <v/>
      </c>
      <c r="U43" s="127"/>
      <c r="V43" s="127"/>
      <c r="W43" s="128" t="str">
        <f>IF(ISNA(VLOOKUP(B43,Master!AQ$59:BC$106,11,FALSE)),"",VLOOKUP(B43,Master!AQ$59:BC$106,11,FALSE))</f>
        <v/>
      </c>
      <c r="X43" s="128" t="str">
        <f>IF(ISNA(VLOOKUP(B43,Master!AQ$59:BC$106,9,FALSE)),"",VLOOKUP(B43,Master!AQ$59:BC$106,9,FALSE))</f>
        <v/>
      </c>
      <c r="Y43" s="129">
        <f t="shared" si="55"/>
        <v>0</v>
      </c>
      <c r="Z43" s="129">
        <f t="shared" si="56"/>
        <v>0</v>
      </c>
      <c r="AA43" s="129">
        <f t="shared" si="57"/>
        <v>0</v>
      </c>
      <c r="AB43" s="129">
        <f t="shared" si="58"/>
        <v>0</v>
      </c>
      <c r="AC43" s="129">
        <f t="shared" si="59"/>
        <v>0</v>
      </c>
      <c r="AD43" s="129">
        <f t="shared" si="60"/>
        <v>0</v>
      </c>
      <c r="AE43" s="130" t="str">
        <f t="shared" si="88"/>
        <v/>
      </c>
      <c r="AF43" s="130" t="str">
        <f t="shared" si="89"/>
        <v/>
      </c>
      <c r="AG43" s="130" t="str">
        <f t="shared" si="90"/>
        <v/>
      </c>
      <c r="AH43" s="130" t="str">
        <f t="shared" si="91"/>
        <v/>
      </c>
      <c r="AI43" s="130" t="str">
        <f t="shared" si="92"/>
        <v/>
      </c>
      <c r="AJ43" s="128" t="str">
        <f t="shared" si="93"/>
        <v/>
      </c>
      <c r="AK43" s="128">
        <v>0</v>
      </c>
      <c r="AL43" s="129">
        <v>0</v>
      </c>
      <c r="AM43" s="128" t="str">
        <f t="shared" si="94"/>
        <v/>
      </c>
      <c r="AN43" s="129">
        <f t="shared" si="61"/>
        <v>0</v>
      </c>
      <c r="AO43" s="128">
        <f t="shared" si="48"/>
        <v>0</v>
      </c>
      <c r="AP43" s="128">
        <f t="shared" si="62"/>
        <v>0</v>
      </c>
      <c r="AQ43" s="128">
        <f t="shared" si="63"/>
        <v>0</v>
      </c>
      <c r="AR43" s="128">
        <f t="shared" si="64"/>
        <v>0</v>
      </c>
      <c r="AS43" s="130">
        <f t="shared" si="65"/>
        <v>0</v>
      </c>
      <c r="AT43" s="130">
        <f t="shared" si="66"/>
        <v>0</v>
      </c>
      <c r="AU43" s="128"/>
      <c r="AV43" s="128"/>
      <c r="AW43" s="130">
        <f t="shared" si="95"/>
        <v>0</v>
      </c>
      <c r="AX43" s="130">
        <f t="shared" si="67"/>
        <v>0</v>
      </c>
      <c r="AY43" s="130">
        <f t="shared" si="68"/>
        <v>0</v>
      </c>
      <c r="AZ43" s="130">
        <f t="shared" si="69"/>
        <v>0</v>
      </c>
      <c r="BA43" s="130">
        <f t="shared" si="70"/>
        <v>0</v>
      </c>
      <c r="BB43" s="128">
        <f t="shared" si="96"/>
        <v>0</v>
      </c>
      <c r="BC43" s="128">
        <f t="shared" si="71"/>
        <v>0</v>
      </c>
      <c r="BD43" s="129">
        <v>0</v>
      </c>
      <c r="BE43" s="128">
        <f t="shared" si="97"/>
        <v>0</v>
      </c>
      <c r="BF43" s="129">
        <f t="shared" si="72"/>
        <v>0</v>
      </c>
      <c r="BG43" s="128">
        <f t="shared" si="49"/>
        <v>0</v>
      </c>
      <c r="BH43" s="128">
        <f t="shared" si="73"/>
        <v>0</v>
      </c>
      <c r="BI43" s="128">
        <f t="shared" si="74"/>
        <v>0</v>
      </c>
      <c r="BJ43" s="128">
        <f t="shared" si="75"/>
        <v>0</v>
      </c>
      <c r="BK43" s="130">
        <f t="shared" si="98"/>
        <v>0</v>
      </c>
      <c r="BL43" s="130">
        <f t="shared" si="99"/>
        <v>0</v>
      </c>
      <c r="BM43" s="128"/>
      <c r="BN43" s="128"/>
      <c r="BO43" s="130">
        <f t="shared" si="100"/>
        <v>0</v>
      </c>
      <c r="BP43" s="124">
        <f t="shared" si="76"/>
        <v>0</v>
      </c>
      <c r="BQ43" s="124">
        <f t="shared" si="77"/>
        <v>1</v>
      </c>
      <c r="BR43" s="124">
        <f t="shared" si="78"/>
        <v>0</v>
      </c>
      <c r="BS43" s="124">
        <f t="shared" si="79"/>
        <v>0</v>
      </c>
      <c r="BT43" s="124">
        <f t="shared" si="50"/>
        <v>0</v>
      </c>
      <c r="BU43" s="124">
        <f t="shared" si="101"/>
        <v>1</v>
      </c>
      <c r="BV43" s="110">
        <f t="shared" si="80"/>
        <v>0</v>
      </c>
      <c r="BW43" s="131">
        <f t="shared" si="102"/>
        <v>1</v>
      </c>
      <c r="BX43" s="110">
        <f t="shared" si="52"/>
        <v>0</v>
      </c>
      <c r="BY43" s="110">
        <f t="shared" si="53"/>
        <v>0</v>
      </c>
      <c r="BZ43" s="99" t="str">
        <f t="shared" si="81"/>
        <v/>
      </c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Z43" s="99"/>
    </row>
    <row r="44" spans="1:104" s="126" customFormat="1" ht="18.75">
      <c r="A44" s="179">
        <v>2202</v>
      </c>
      <c r="B44" s="179">
        <v>18</v>
      </c>
      <c r="C44" s="180" t="str">
        <f>IF(ISNA(VLOOKUP(B44,Master!AQ$59:BC$106,3,FALSE)),"",VLOOKUP(B44,Master!AQ$59:BC$106,3,FALSE))</f>
        <v/>
      </c>
      <c r="D44" s="181" t="str">
        <f>IF(ISNA(VLOOKUP(B44,Master!AQ$59:BC$106,7,FALSE)),"",VLOOKUP(B44,Master!AQ$59:BC$106,7,FALSE))</f>
        <v/>
      </c>
      <c r="E44" s="182" t="str">
        <f>IF(ISNA(VLOOKUP(B44,Master!AQ$59:BC$106,8,FALSE)),"",VLOOKUP(B44,Master!AQ$59:BC$106,8,FALSE))</f>
        <v/>
      </c>
      <c r="F44" s="183" t="str">
        <f>IF(ISNA(VLOOKUP(B44,Master!AQ$59:BC$106,4,FALSE)),"",VLOOKUP(B44,Master!AQ$59:BC$106,4,FALSE))</f>
        <v/>
      </c>
      <c r="G44" s="184" t="str">
        <f>IF(ISNA(VLOOKUP(B44,Master!AQ$59:BC$106,5,FALSE)),"",VLOOKUP(B44,Master!AQ$59:BC$106,5,FALSE))</f>
        <v/>
      </c>
      <c r="H44" s="185" t="str">
        <f>IF(ISNA(VLOOKUP(B44,Master!AQ$59:BC$106,6,FALSE)),"",VLOOKUP(B44,Master!AQ$59:BC$106,6,FALSE))</f>
        <v/>
      </c>
      <c r="I44" s="179" t="str">
        <f t="shared" si="82"/>
        <v/>
      </c>
      <c r="J44" s="181" t="str">
        <f t="shared" ca="1" si="83"/>
        <v/>
      </c>
      <c r="K44" s="179" t="str">
        <f t="shared" si="84"/>
        <v/>
      </c>
      <c r="L44" s="179" t="str">
        <f t="shared" si="85"/>
        <v/>
      </c>
      <c r="M44" s="179" t="str">
        <f t="shared" si="86"/>
        <v/>
      </c>
      <c r="N44" s="268" t="str">
        <f>IF(ISNA(VLOOKUP(B44,Master!AQ$59:BC$106,12,FALSE)),"",VLOOKUP(B44,Master!AQ$59:BC$106,12,FALSE))</f>
        <v/>
      </c>
      <c r="O44" s="262"/>
      <c r="P44" s="262"/>
      <c r="Q44" s="262"/>
      <c r="R44" s="262">
        <f t="shared" si="87"/>
        <v>0</v>
      </c>
      <c r="S44" s="102">
        <f t="shared" si="103"/>
        <v>1</v>
      </c>
      <c r="T44" s="1" t="str">
        <f>IF(ISNA(VLOOKUP(B44,Master!AQ$59:BC$106,10,FALSE)),"",VLOOKUP(B44,Master!AQ$59:BC$106,10,FALSE))</f>
        <v/>
      </c>
      <c r="U44" s="127"/>
      <c r="V44" s="127"/>
      <c r="W44" s="128" t="str">
        <f>IF(ISNA(VLOOKUP(B44,Master!AQ$59:BC$106,11,FALSE)),"",VLOOKUP(B44,Master!AQ$59:BC$106,11,FALSE))</f>
        <v/>
      </c>
      <c r="X44" s="128" t="str">
        <f>IF(ISNA(VLOOKUP(B44,Master!AQ$59:BC$106,9,FALSE)),"",VLOOKUP(B44,Master!AQ$59:BC$106,9,FALSE))</f>
        <v/>
      </c>
      <c r="Y44" s="129">
        <f t="shared" si="55"/>
        <v>0</v>
      </c>
      <c r="Z44" s="129">
        <f t="shared" si="56"/>
        <v>0</v>
      </c>
      <c r="AA44" s="129">
        <f t="shared" si="57"/>
        <v>0</v>
      </c>
      <c r="AB44" s="129">
        <f t="shared" si="58"/>
        <v>0</v>
      </c>
      <c r="AC44" s="129">
        <f t="shared" si="59"/>
        <v>0</v>
      </c>
      <c r="AD44" s="129">
        <f t="shared" si="60"/>
        <v>0</v>
      </c>
      <c r="AE44" s="130" t="str">
        <f t="shared" si="88"/>
        <v/>
      </c>
      <c r="AF44" s="130" t="str">
        <f t="shared" si="89"/>
        <v/>
      </c>
      <c r="AG44" s="130" t="str">
        <f t="shared" si="90"/>
        <v/>
      </c>
      <c r="AH44" s="130" t="str">
        <f t="shared" si="91"/>
        <v/>
      </c>
      <c r="AI44" s="130" t="str">
        <f t="shared" si="92"/>
        <v/>
      </c>
      <c r="AJ44" s="128" t="str">
        <f t="shared" si="93"/>
        <v/>
      </c>
      <c r="AK44" s="128">
        <v>0</v>
      </c>
      <c r="AL44" s="129">
        <v>0</v>
      </c>
      <c r="AM44" s="128" t="str">
        <f t="shared" si="94"/>
        <v/>
      </c>
      <c r="AN44" s="129">
        <f t="shared" si="61"/>
        <v>0</v>
      </c>
      <c r="AO44" s="128">
        <f t="shared" si="48"/>
        <v>0</v>
      </c>
      <c r="AP44" s="128">
        <f t="shared" si="62"/>
        <v>0</v>
      </c>
      <c r="AQ44" s="128">
        <f t="shared" si="63"/>
        <v>0</v>
      </c>
      <c r="AR44" s="128">
        <f t="shared" si="64"/>
        <v>0</v>
      </c>
      <c r="AS44" s="130">
        <f t="shared" si="65"/>
        <v>0</v>
      </c>
      <c r="AT44" s="130">
        <f t="shared" si="66"/>
        <v>0</v>
      </c>
      <c r="AU44" s="128"/>
      <c r="AV44" s="128"/>
      <c r="AW44" s="130">
        <f t="shared" si="95"/>
        <v>0</v>
      </c>
      <c r="AX44" s="130">
        <f t="shared" si="67"/>
        <v>0</v>
      </c>
      <c r="AY44" s="130">
        <f t="shared" si="68"/>
        <v>0</v>
      </c>
      <c r="AZ44" s="130">
        <f t="shared" si="69"/>
        <v>0</v>
      </c>
      <c r="BA44" s="130">
        <f t="shared" si="70"/>
        <v>0</v>
      </c>
      <c r="BB44" s="128">
        <f t="shared" si="96"/>
        <v>0</v>
      </c>
      <c r="BC44" s="128">
        <f t="shared" si="71"/>
        <v>0</v>
      </c>
      <c r="BD44" s="129">
        <v>0</v>
      </c>
      <c r="BE44" s="128">
        <f t="shared" si="97"/>
        <v>0</v>
      </c>
      <c r="BF44" s="129">
        <f t="shared" si="72"/>
        <v>0</v>
      </c>
      <c r="BG44" s="128">
        <f t="shared" si="49"/>
        <v>0</v>
      </c>
      <c r="BH44" s="128">
        <f t="shared" si="73"/>
        <v>0</v>
      </c>
      <c r="BI44" s="128">
        <f t="shared" si="74"/>
        <v>0</v>
      </c>
      <c r="BJ44" s="128">
        <f t="shared" si="75"/>
        <v>0</v>
      </c>
      <c r="BK44" s="130">
        <f t="shared" si="98"/>
        <v>0</v>
      </c>
      <c r="BL44" s="130">
        <f t="shared" si="99"/>
        <v>0</v>
      </c>
      <c r="BM44" s="128"/>
      <c r="BN44" s="128"/>
      <c r="BO44" s="130">
        <f t="shared" si="100"/>
        <v>0</v>
      </c>
      <c r="BP44" s="124">
        <f t="shared" si="76"/>
        <v>0</v>
      </c>
      <c r="BQ44" s="124">
        <f t="shared" si="77"/>
        <v>1</v>
      </c>
      <c r="BR44" s="124">
        <f t="shared" si="78"/>
        <v>0</v>
      </c>
      <c r="BS44" s="124">
        <f t="shared" si="79"/>
        <v>0</v>
      </c>
      <c r="BT44" s="124">
        <f t="shared" si="50"/>
        <v>0</v>
      </c>
      <c r="BU44" s="124">
        <f t="shared" si="101"/>
        <v>1</v>
      </c>
      <c r="BV44" s="110">
        <f t="shared" si="80"/>
        <v>0</v>
      </c>
      <c r="BW44" s="131">
        <f t="shared" si="102"/>
        <v>1</v>
      </c>
      <c r="BX44" s="110">
        <f t="shared" si="52"/>
        <v>0</v>
      </c>
      <c r="BY44" s="110">
        <f t="shared" si="53"/>
        <v>0</v>
      </c>
      <c r="BZ44" s="99" t="str">
        <f t="shared" si="81"/>
        <v/>
      </c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Z44" s="99"/>
    </row>
    <row r="45" spans="1:104" s="126" customFormat="1" ht="18.75">
      <c r="A45" s="179">
        <v>2202</v>
      </c>
      <c r="B45" s="179">
        <v>19</v>
      </c>
      <c r="C45" s="180" t="str">
        <f>IF(ISNA(VLOOKUP(B45,Master!AQ$59:BC$106,3,FALSE)),"",VLOOKUP(B45,Master!AQ$59:BC$106,3,FALSE))</f>
        <v/>
      </c>
      <c r="D45" s="181" t="str">
        <f>IF(ISNA(VLOOKUP(B45,Master!AQ$59:BC$106,7,FALSE)),"",VLOOKUP(B45,Master!AQ$59:BC$106,7,FALSE))</f>
        <v/>
      </c>
      <c r="E45" s="182" t="str">
        <f>IF(ISNA(VLOOKUP(B45,Master!AQ$59:BC$106,8,FALSE)),"",VLOOKUP(B45,Master!AQ$59:BC$106,8,FALSE))</f>
        <v/>
      </c>
      <c r="F45" s="183" t="str">
        <f>IF(ISNA(VLOOKUP(B45,Master!AQ$59:BC$106,4,FALSE)),"",VLOOKUP(B45,Master!AQ$59:BC$106,4,FALSE))</f>
        <v/>
      </c>
      <c r="G45" s="184" t="str">
        <f>IF(ISNA(VLOOKUP(B45,Master!AQ$59:BC$106,5,FALSE)),"",VLOOKUP(B45,Master!AQ$59:BC$106,5,FALSE))</f>
        <v/>
      </c>
      <c r="H45" s="185" t="str">
        <f>IF(ISNA(VLOOKUP(B45,Master!AQ$59:BC$106,6,FALSE)),"",VLOOKUP(B45,Master!AQ$59:BC$106,6,FALSE))</f>
        <v/>
      </c>
      <c r="I45" s="179" t="str">
        <f t="shared" si="82"/>
        <v/>
      </c>
      <c r="J45" s="181" t="str">
        <f t="shared" ca="1" si="83"/>
        <v/>
      </c>
      <c r="K45" s="179" t="str">
        <f t="shared" si="84"/>
        <v/>
      </c>
      <c r="L45" s="179" t="str">
        <f t="shared" si="85"/>
        <v/>
      </c>
      <c r="M45" s="179" t="str">
        <f t="shared" si="86"/>
        <v/>
      </c>
      <c r="N45" s="268" t="str">
        <f>IF(ISNA(VLOOKUP(B45,Master!AQ$59:BC$106,12,FALSE)),"",VLOOKUP(B45,Master!AQ$59:BC$106,12,FALSE))</f>
        <v/>
      </c>
      <c r="O45" s="262"/>
      <c r="P45" s="262"/>
      <c r="Q45" s="262"/>
      <c r="R45" s="262">
        <f t="shared" si="87"/>
        <v>0</v>
      </c>
      <c r="S45" s="102">
        <f t="shared" si="103"/>
        <v>1</v>
      </c>
      <c r="T45" s="1" t="str">
        <f>IF(ISNA(VLOOKUP(B45,Master!AQ$59:BC$106,10,FALSE)),"",VLOOKUP(B45,Master!AQ$59:BC$106,10,FALSE))</f>
        <v/>
      </c>
      <c r="U45" s="127"/>
      <c r="V45" s="127"/>
      <c r="W45" s="128" t="str">
        <f>IF(ISNA(VLOOKUP(B45,Master!AQ$59:BC$106,11,FALSE)),"",VLOOKUP(B45,Master!AQ$59:BC$106,11,FALSE))</f>
        <v/>
      </c>
      <c r="X45" s="128" t="str">
        <f>IF(ISNA(VLOOKUP(B45,Master!AQ$59:BC$106,9,FALSE)),"",VLOOKUP(B45,Master!AQ$59:BC$106,9,FALSE))</f>
        <v/>
      </c>
      <c r="Y45" s="129">
        <f t="shared" si="55"/>
        <v>0</v>
      </c>
      <c r="Z45" s="129">
        <f t="shared" si="56"/>
        <v>0</v>
      </c>
      <c r="AA45" s="129">
        <f t="shared" si="57"/>
        <v>0</v>
      </c>
      <c r="AB45" s="129">
        <f t="shared" si="58"/>
        <v>0</v>
      </c>
      <c r="AC45" s="129">
        <f t="shared" si="59"/>
        <v>0</v>
      </c>
      <c r="AD45" s="129">
        <f t="shared" si="60"/>
        <v>0</v>
      </c>
      <c r="AE45" s="130" t="str">
        <f t="shared" si="88"/>
        <v/>
      </c>
      <c r="AF45" s="130" t="str">
        <f t="shared" si="89"/>
        <v/>
      </c>
      <c r="AG45" s="130" t="str">
        <f t="shared" si="90"/>
        <v/>
      </c>
      <c r="AH45" s="130" t="str">
        <f t="shared" si="91"/>
        <v/>
      </c>
      <c r="AI45" s="130" t="str">
        <f t="shared" si="92"/>
        <v/>
      </c>
      <c r="AJ45" s="128" t="str">
        <f t="shared" si="93"/>
        <v/>
      </c>
      <c r="AK45" s="128">
        <v>0</v>
      </c>
      <c r="AL45" s="129">
        <v>0</v>
      </c>
      <c r="AM45" s="128" t="str">
        <f t="shared" si="94"/>
        <v/>
      </c>
      <c r="AN45" s="129">
        <f t="shared" si="61"/>
        <v>0</v>
      </c>
      <c r="AO45" s="128">
        <f t="shared" si="48"/>
        <v>0</v>
      </c>
      <c r="AP45" s="128">
        <f t="shared" si="62"/>
        <v>0</v>
      </c>
      <c r="AQ45" s="128">
        <f t="shared" si="63"/>
        <v>0</v>
      </c>
      <c r="AR45" s="128">
        <f t="shared" si="64"/>
        <v>0</v>
      </c>
      <c r="AS45" s="130">
        <f t="shared" si="65"/>
        <v>0</v>
      </c>
      <c r="AT45" s="130">
        <f t="shared" si="66"/>
        <v>0</v>
      </c>
      <c r="AU45" s="128"/>
      <c r="AV45" s="128"/>
      <c r="AW45" s="130">
        <f t="shared" si="95"/>
        <v>0</v>
      </c>
      <c r="AX45" s="130">
        <f t="shared" si="67"/>
        <v>0</v>
      </c>
      <c r="AY45" s="130">
        <f t="shared" si="68"/>
        <v>0</v>
      </c>
      <c r="AZ45" s="130">
        <f t="shared" si="69"/>
        <v>0</v>
      </c>
      <c r="BA45" s="130">
        <f t="shared" si="70"/>
        <v>0</v>
      </c>
      <c r="BB45" s="128">
        <f t="shared" si="96"/>
        <v>0</v>
      </c>
      <c r="BC45" s="128">
        <f t="shared" si="71"/>
        <v>0</v>
      </c>
      <c r="BD45" s="129">
        <v>0</v>
      </c>
      <c r="BE45" s="128">
        <f t="shared" si="97"/>
        <v>0</v>
      </c>
      <c r="BF45" s="129">
        <f t="shared" si="72"/>
        <v>0</v>
      </c>
      <c r="BG45" s="128">
        <f t="shared" si="49"/>
        <v>0</v>
      </c>
      <c r="BH45" s="128">
        <f t="shared" si="73"/>
        <v>0</v>
      </c>
      <c r="BI45" s="128">
        <f t="shared" si="74"/>
        <v>0</v>
      </c>
      <c r="BJ45" s="128">
        <f t="shared" si="75"/>
        <v>0</v>
      </c>
      <c r="BK45" s="130">
        <f t="shared" si="98"/>
        <v>0</v>
      </c>
      <c r="BL45" s="130">
        <f t="shared" si="99"/>
        <v>0</v>
      </c>
      <c r="BM45" s="128"/>
      <c r="BN45" s="128"/>
      <c r="BO45" s="130">
        <f t="shared" si="100"/>
        <v>0</v>
      </c>
      <c r="BP45" s="124">
        <f t="shared" si="76"/>
        <v>0</v>
      </c>
      <c r="BQ45" s="124">
        <f t="shared" si="77"/>
        <v>1</v>
      </c>
      <c r="BR45" s="124">
        <f t="shared" si="78"/>
        <v>0</v>
      </c>
      <c r="BS45" s="124">
        <f t="shared" si="79"/>
        <v>0</v>
      </c>
      <c r="BT45" s="124">
        <f t="shared" si="50"/>
        <v>0</v>
      </c>
      <c r="BU45" s="124">
        <f t="shared" si="101"/>
        <v>1</v>
      </c>
      <c r="BV45" s="110">
        <f t="shared" si="80"/>
        <v>0</v>
      </c>
      <c r="BW45" s="131">
        <f t="shared" si="102"/>
        <v>1</v>
      </c>
      <c r="BX45" s="110">
        <f t="shared" si="52"/>
        <v>0</v>
      </c>
      <c r="BY45" s="110">
        <f t="shared" si="53"/>
        <v>0</v>
      </c>
      <c r="BZ45" s="99" t="str">
        <f t="shared" si="81"/>
        <v/>
      </c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Z45" s="99"/>
    </row>
    <row r="46" spans="1:104" s="126" customFormat="1" ht="18.75">
      <c r="A46" s="179">
        <v>2202</v>
      </c>
      <c r="B46" s="179">
        <v>20</v>
      </c>
      <c r="C46" s="180" t="str">
        <f>IF(ISNA(VLOOKUP(B46,Master!AQ$59:BC$106,3,FALSE)),"",VLOOKUP(B46,Master!AQ$59:BC$106,3,FALSE))</f>
        <v/>
      </c>
      <c r="D46" s="181" t="str">
        <f>IF(ISNA(VLOOKUP(B46,Master!AQ$59:BC$106,7,FALSE)),"",VLOOKUP(B46,Master!AQ$59:BC$106,7,FALSE))</f>
        <v/>
      </c>
      <c r="E46" s="182" t="str">
        <f>IF(ISNA(VLOOKUP(B46,Master!AQ$59:BC$106,8,FALSE)),"",VLOOKUP(B46,Master!AQ$59:BC$106,8,FALSE))</f>
        <v/>
      </c>
      <c r="F46" s="183" t="str">
        <f>IF(ISNA(VLOOKUP(B46,Master!AQ$59:BC$106,4,FALSE)),"",VLOOKUP(B46,Master!AQ$59:BC$106,4,FALSE))</f>
        <v/>
      </c>
      <c r="G46" s="184" t="str">
        <f>IF(ISNA(VLOOKUP(B46,Master!AQ$59:BC$106,5,FALSE)),"",VLOOKUP(B46,Master!AQ$59:BC$106,5,FALSE))</f>
        <v/>
      </c>
      <c r="H46" s="185" t="str">
        <f>IF(ISNA(VLOOKUP(B46,Master!AQ$59:BC$106,6,FALSE)),"",VLOOKUP(B46,Master!AQ$59:BC$106,6,FALSE))</f>
        <v/>
      </c>
      <c r="I46" s="179" t="str">
        <f t="shared" si="82"/>
        <v/>
      </c>
      <c r="J46" s="181" t="str">
        <f t="shared" ca="1" si="83"/>
        <v/>
      </c>
      <c r="K46" s="179" t="str">
        <f t="shared" si="84"/>
        <v/>
      </c>
      <c r="L46" s="179" t="str">
        <f t="shared" si="85"/>
        <v/>
      </c>
      <c r="M46" s="179" t="str">
        <f t="shared" si="86"/>
        <v/>
      </c>
      <c r="N46" s="268" t="str">
        <f>IF(ISNA(VLOOKUP(B46,Master!AQ$59:BC$106,12,FALSE)),"",VLOOKUP(B46,Master!AQ$59:BC$106,12,FALSE))</f>
        <v/>
      </c>
      <c r="O46" s="262"/>
      <c r="P46" s="262"/>
      <c r="Q46" s="262"/>
      <c r="R46" s="262">
        <f t="shared" si="87"/>
        <v>0</v>
      </c>
      <c r="S46" s="102">
        <f t="shared" si="103"/>
        <v>1</v>
      </c>
      <c r="T46" s="1" t="str">
        <f>IF(ISNA(VLOOKUP(B46,Master!AQ$59:BC$106,10,FALSE)),"",VLOOKUP(B46,Master!AQ$59:BC$106,10,FALSE))</f>
        <v/>
      </c>
      <c r="U46" s="127"/>
      <c r="V46" s="127"/>
      <c r="W46" s="128" t="str">
        <f>IF(ISNA(VLOOKUP(B46,Master!AQ$59:BC$106,11,FALSE)),"",VLOOKUP(B46,Master!AQ$59:BC$106,11,FALSE))</f>
        <v/>
      </c>
      <c r="X46" s="128" t="str">
        <f>IF(ISNA(VLOOKUP(B46,Master!AQ$59:BC$106,9,FALSE)),"",VLOOKUP(B46,Master!AQ$59:BC$106,9,FALSE))</f>
        <v/>
      </c>
      <c r="Y46" s="129">
        <f t="shared" si="55"/>
        <v>0</v>
      </c>
      <c r="Z46" s="129">
        <f t="shared" si="56"/>
        <v>0</v>
      </c>
      <c r="AA46" s="129">
        <f t="shared" si="57"/>
        <v>0</v>
      </c>
      <c r="AB46" s="129">
        <f t="shared" si="58"/>
        <v>0</v>
      </c>
      <c r="AC46" s="129">
        <f t="shared" si="59"/>
        <v>0</v>
      </c>
      <c r="AD46" s="129">
        <f t="shared" si="60"/>
        <v>0</v>
      </c>
      <c r="AE46" s="130" t="str">
        <f t="shared" si="88"/>
        <v/>
      </c>
      <c r="AF46" s="130" t="str">
        <f t="shared" si="89"/>
        <v/>
      </c>
      <c r="AG46" s="130" t="str">
        <f t="shared" si="90"/>
        <v/>
      </c>
      <c r="AH46" s="130" t="str">
        <f t="shared" si="91"/>
        <v/>
      </c>
      <c r="AI46" s="130" t="str">
        <f t="shared" si="92"/>
        <v/>
      </c>
      <c r="AJ46" s="128" t="str">
        <f t="shared" si="93"/>
        <v/>
      </c>
      <c r="AK46" s="128">
        <v>0</v>
      </c>
      <c r="AL46" s="129">
        <v>0</v>
      </c>
      <c r="AM46" s="128" t="str">
        <f t="shared" si="94"/>
        <v/>
      </c>
      <c r="AN46" s="129">
        <f t="shared" si="61"/>
        <v>0</v>
      </c>
      <c r="AO46" s="128">
        <f t="shared" si="48"/>
        <v>0</v>
      </c>
      <c r="AP46" s="128">
        <f t="shared" si="62"/>
        <v>0</v>
      </c>
      <c r="AQ46" s="128">
        <f t="shared" si="63"/>
        <v>0</v>
      </c>
      <c r="AR46" s="128">
        <f t="shared" si="64"/>
        <v>0</v>
      </c>
      <c r="AS46" s="130">
        <f t="shared" si="65"/>
        <v>0</v>
      </c>
      <c r="AT46" s="130">
        <f t="shared" si="66"/>
        <v>0</v>
      </c>
      <c r="AU46" s="128"/>
      <c r="AV46" s="128"/>
      <c r="AW46" s="130">
        <f t="shared" si="95"/>
        <v>0</v>
      </c>
      <c r="AX46" s="130">
        <f t="shared" si="67"/>
        <v>0</v>
      </c>
      <c r="AY46" s="130">
        <f t="shared" si="68"/>
        <v>0</v>
      </c>
      <c r="AZ46" s="130">
        <f t="shared" si="69"/>
        <v>0</v>
      </c>
      <c r="BA46" s="130">
        <f t="shared" si="70"/>
        <v>0</v>
      </c>
      <c r="BB46" s="128">
        <f t="shared" si="96"/>
        <v>0</v>
      </c>
      <c r="BC46" s="128">
        <f t="shared" si="71"/>
        <v>0</v>
      </c>
      <c r="BD46" s="129">
        <v>0</v>
      </c>
      <c r="BE46" s="128">
        <f t="shared" si="97"/>
        <v>0</v>
      </c>
      <c r="BF46" s="129">
        <f t="shared" si="72"/>
        <v>0</v>
      </c>
      <c r="BG46" s="128">
        <f t="shared" si="49"/>
        <v>0</v>
      </c>
      <c r="BH46" s="128">
        <f t="shared" si="73"/>
        <v>0</v>
      </c>
      <c r="BI46" s="128">
        <f t="shared" si="74"/>
        <v>0</v>
      </c>
      <c r="BJ46" s="128">
        <f t="shared" si="75"/>
        <v>0</v>
      </c>
      <c r="BK46" s="130">
        <f t="shared" si="98"/>
        <v>0</v>
      </c>
      <c r="BL46" s="130">
        <f t="shared" si="99"/>
        <v>0</v>
      </c>
      <c r="BM46" s="128"/>
      <c r="BN46" s="128"/>
      <c r="BO46" s="130">
        <f t="shared" si="100"/>
        <v>0</v>
      </c>
      <c r="BP46" s="124">
        <f t="shared" si="76"/>
        <v>0</v>
      </c>
      <c r="BQ46" s="124">
        <f t="shared" si="77"/>
        <v>1</v>
      </c>
      <c r="BR46" s="124">
        <f t="shared" si="78"/>
        <v>0</v>
      </c>
      <c r="BS46" s="124">
        <f t="shared" si="79"/>
        <v>0</v>
      </c>
      <c r="BT46" s="124">
        <f t="shared" si="50"/>
        <v>0</v>
      </c>
      <c r="BU46" s="124">
        <f t="shared" si="101"/>
        <v>1</v>
      </c>
      <c r="BV46" s="110">
        <f t="shared" si="80"/>
        <v>0</v>
      </c>
      <c r="BW46" s="131">
        <f t="shared" si="102"/>
        <v>1</v>
      </c>
      <c r="BX46" s="110">
        <f t="shared" si="52"/>
        <v>0</v>
      </c>
      <c r="BY46" s="110">
        <f t="shared" si="53"/>
        <v>0</v>
      </c>
      <c r="BZ46" s="99" t="str">
        <f t="shared" si="81"/>
        <v/>
      </c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Z46" s="99"/>
    </row>
    <row r="47" spans="1:104" s="126" customFormat="1" ht="18.75">
      <c r="A47" s="179">
        <v>2202</v>
      </c>
      <c r="B47" s="179">
        <v>21</v>
      </c>
      <c r="C47" s="180" t="str">
        <f>IF(ISNA(VLOOKUP(B47,Master!AQ$59:BC$106,3,FALSE)),"",VLOOKUP(B47,Master!AQ$59:BC$106,3,FALSE))</f>
        <v/>
      </c>
      <c r="D47" s="181" t="str">
        <f>IF(ISNA(VLOOKUP(B47,Master!AQ$59:BC$106,7,FALSE)),"",VLOOKUP(B47,Master!AQ$59:BC$106,7,FALSE))</f>
        <v/>
      </c>
      <c r="E47" s="182" t="str">
        <f>IF(ISNA(VLOOKUP(B47,Master!AQ$59:BC$106,8,FALSE)),"",VLOOKUP(B47,Master!AQ$59:BC$106,8,FALSE))</f>
        <v/>
      </c>
      <c r="F47" s="183" t="str">
        <f>IF(ISNA(VLOOKUP(B47,Master!AQ$59:BC$106,4,FALSE)),"",VLOOKUP(B47,Master!AQ$59:BC$106,4,FALSE))</f>
        <v/>
      </c>
      <c r="G47" s="184" t="str">
        <f>IF(ISNA(VLOOKUP(B47,Master!AQ$59:BC$106,5,FALSE)),"",VLOOKUP(B47,Master!AQ$59:BC$106,5,FALSE))</f>
        <v/>
      </c>
      <c r="H47" s="185" t="str">
        <f>IF(ISNA(VLOOKUP(B47,Master!AQ$59:BC$106,6,FALSE)),"",VLOOKUP(B47,Master!AQ$59:BC$106,6,FALSE))</f>
        <v/>
      </c>
      <c r="I47" s="179" t="str">
        <f t="shared" si="82"/>
        <v/>
      </c>
      <c r="J47" s="181" t="str">
        <f t="shared" ca="1" si="83"/>
        <v/>
      </c>
      <c r="K47" s="179" t="str">
        <f t="shared" si="84"/>
        <v/>
      </c>
      <c r="L47" s="179" t="str">
        <f t="shared" si="85"/>
        <v/>
      </c>
      <c r="M47" s="179" t="str">
        <f t="shared" si="86"/>
        <v/>
      </c>
      <c r="N47" s="268" t="str">
        <f>IF(ISNA(VLOOKUP(B47,Master!AQ$59:BC$106,12,FALSE)),"",VLOOKUP(B47,Master!AQ$59:BC$106,12,FALSE))</f>
        <v/>
      </c>
      <c r="O47" s="262"/>
      <c r="P47" s="262"/>
      <c r="Q47" s="262"/>
      <c r="R47" s="262">
        <f t="shared" si="87"/>
        <v>0</v>
      </c>
      <c r="S47" s="102">
        <f t="shared" si="103"/>
        <v>1</v>
      </c>
      <c r="T47" s="1" t="str">
        <f>IF(ISNA(VLOOKUP(B47,Master!AQ$59:BC$106,10,FALSE)),"",VLOOKUP(B47,Master!AQ$59:BC$106,10,FALSE))</f>
        <v/>
      </c>
      <c r="U47" s="127"/>
      <c r="V47" s="127"/>
      <c r="W47" s="128" t="str">
        <f>IF(ISNA(VLOOKUP(B47,Master!AQ$59:BC$106,11,FALSE)),"",VLOOKUP(B47,Master!AQ$59:BC$106,11,FALSE))</f>
        <v/>
      </c>
      <c r="X47" s="128" t="str">
        <f>IF(ISNA(VLOOKUP(B47,Master!AQ$59:BC$106,9,FALSE)),"",VLOOKUP(B47,Master!AQ$59:BC$106,9,FALSE))</f>
        <v/>
      </c>
      <c r="Y47" s="129">
        <f t="shared" si="55"/>
        <v>0</v>
      </c>
      <c r="Z47" s="129">
        <f t="shared" si="56"/>
        <v>0</v>
      </c>
      <c r="AA47" s="129">
        <f t="shared" si="57"/>
        <v>0</v>
      </c>
      <c r="AB47" s="129">
        <f t="shared" si="58"/>
        <v>0</v>
      </c>
      <c r="AC47" s="129">
        <f t="shared" si="59"/>
        <v>0</v>
      </c>
      <c r="AD47" s="129">
        <f t="shared" si="60"/>
        <v>0</v>
      </c>
      <c r="AE47" s="130" t="str">
        <f t="shared" si="88"/>
        <v/>
      </c>
      <c r="AF47" s="130" t="str">
        <f t="shared" si="89"/>
        <v/>
      </c>
      <c r="AG47" s="130" t="str">
        <f t="shared" si="90"/>
        <v/>
      </c>
      <c r="AH47" s="130" t="str">
        <f t="shared" si="91"/>
        <v/>
      </c>
      <c r="AI47" s="130" t="str">
        <f t="shared" si="92"/>
        <v/>
      </c>
      <c r="AJ47" s="128" t="str">
        <f t="shared" si="93"/>
        <v/>
      </c>
      <c r="AK47" s="128">
        <v>0</v>
      </c>
      <c r="AL47" s="129">
        <v>0</v>
      </c>
      <c r="AM47" s="128" t="str">
        <f t="shared" si="94"/>
        <v/>
      </c>
      <c r="AN47" s="129">
        <f t="shared" si="61"/>
        <v>0</v>
      </c>
      <c r="AO47" s="128">
        <f t="shared" si="48"/>
        <v>0</v>
      </c>
      <c r="AP47" s="128">
        <f t="shared" si="62"/>
        <v>0</v>
      </c>
      <c r="AQ47" s="128">
        <f t="shared" si="63"/>
        <v>0</v>
      </c>
      <c r="AR47" s="128">
        <f t="shared" si="64"/>
        <v>0</v>
      </c>
      <c r="AS47" s="130">
        <f t="shared" si="65"/>
        <v>0</v>
      </c>
      <c r="AT47" s="130">
        <f t="shared" si="66"/>
        <v>0</v>
      </c>
      <c r="AU47" s="128"/>
      <c r="AV47" s="128"/>
      <c r="AW47" s="130">
        <f t="shared" si="95"/>
        <v>0</v>
      </c>
      <c r="AX47" s="130">
        <f t="shared" si="67"/>
        <v>0</v>
      </c>
      <c r="AY47" s="130">
        <f t="shared" si="68"/>
        <v>0</v>
      </c>
      <c r="AZ47" s="130">
        <f t="shared" si="69"/>
        <v>0</v>
      </c>
      <c r="BA47" s="130">
        <f t="shared" si="70"/>
        <v>0</v>
      </c>
      <c r="BB47" s="128">
        <f t="shared" si="96"/>
        <v>0</v>
      </c>
      <c r="BC47" s="128">
        <f t="shared" si="71"/>
        <v>0</v>
      </c>
      <c r="BD47" s="129">
        <v>0</v>
      </c>
      <c r="BE47" s="128">
        <f t="shared" si="97"/>
        <v>0</v>
      </c>
      <c r="BF47" s="129">
        <f t="shared" si="72"/>
        <v>0</v>
      </c>
      <c r="BG47" s="128">
        <f t="shared" si="49"/>
        <v>0</v>
      </c>
      <c r="BH47" s="128">
        <f t="shared" si="73"/>
        <v>0</v>
      </c>
      <c r="BI47" s="128">
        <f t="shared" si="74"/>
        <v>0</v>
      </c>
      <c r="BJ47" s="128">
        <f t="shared" si="75"/>
        <v>0</v>
      </c>
      <c r="BK47" s="130">
        <f t="shared" si="98"/>
        <v>0</v>
      </c>
      <c r="BL47" s="130">
        <f t="shared" si="99"/>
        <v>0</v>
      </c>
      <c r="BM47" s="128"/>
      <c r="BN47" s="128"/>
      <c r="BO47" s="130">
        <f t="shared" si="100"/>
        <v>0</v>
      </c>
      <c r="BP47" s="124">
        <f t="shared" si="76"/>
        <v>0</v>
      </c>
      <c r="BQ47" s="124">
        <f t="shared" si="77"/>
        <v>1</v>
      </c>
      <c r="BR47" s="124">
        <f t="shared" si="78"/>
        <v>0</v>
      </c>
      <c r="BS47" s="124">
        <f t="shared" si="79"/>
        <v>0</v>
      </c>
      <c r="BT47" s="124">
        <f t="shared" si="50"/>
        <v>0</v>
      </c>
      <c r="BU47" s="124">
        <f t="shared" si="101"/>
        <v>1</v>
      </c>
      <c r="BV47" s="110">
        <f t="shared" si="80"/>
        <v>0</v>
      </c>
      <c r="BW47" s="131">
        <f t="shared" si="102"/>
        <v>1</v>
      </c>
      <c r="BX47" s="110">
        <f t="shared" si="52"/>
        <v>0</v>
      </c>
      <c r="BY47" s="110">
        <f t="shared" si="53"/>
        <v>0</v>
      </c>
      <c r="BZ47" s="99" t="str">
        <f t="shared" si="81"/>
        <v/>
      </c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Z47" s="99"/>
    </row>
    <row r="48" spans="1:104" s="126" customFormat="1" ht="18.75">
      <c r="A48" s="179">
        <v>2202</v>
      </c>
      <c r="B48" s="179">
        <v>22</v>
      </c>
      <c r="C48" s="180" t="str">
        <f>IF(ISNA(VLOOKUP(B48,Master!AQ$59:BC$106,3,FALSE)),"",VLOOKUP(B48,Master!AQ$59:BC$106,3,FALSE))</f>
        <v/>
      </c>
      <c r="D48" s="181" t="str">
        <f>IF(ISNA(VLOOKUP(B48,Master!AQ$59:BC$106,7,FALSE)),"",VLOOKUP(B48,Master!AQ$59:BC$106,7,FALSE))</f>
        <v/>
      </c>
      <c r="E48" s="182" t="str">
        <f>IF(ISNA(VLOOKUP(B48,Master!AQ$59:BC$106,8,FALSE)),"",VLOOKUP(B48,Master!AQ$59:BC$106,8,FALSE))</f>
        <v/>
      </c>
      <c r="F48" s="183" t="str">
        <f>IF(ISNA(VLOOKUP(B48,Master!AQ$59:BC$106,4,FALSE)),"",VLOOKUP(B48,Master!AQ$59:BC$106,4,FALSE))</f>
        <v/>
      </c>
      <c r="G48" s="184" t="str">
        <f>IF(ISNA(VLOOKUP(B48,Master!AQ$59:BC$106,5,FALSE)),"",VLOOKUP(B48,Master!AQ$59:BC$106,5,FALSE))</f>
        <v/>
      </c>
      <c r="H48" s="185" t="str">
        <f>IF(ISNA(VLOOKUP(B48,Master!AQ$59:BC$106,6,FALSE)),"",VLOOKUP(B48,Master!AQ$59:BC$106,6,FALSE))</f>
        <v/>
      </c>
      <c r="I48" s="179" t="str">
        <f t="shared" si="82"/>
        <v/>
      </c>
      <c r="J48" s="181" t="str">
        <f t="shared" ca="1" si="83"/>
        <v/>
      </c>
      <c r="K48" s="179" t="str">
        <f t="shared" si="84"/>
        <v/>
      </c>
      <c r="L48" s="179" t="str">
        <f t="shared" si="85"/>
        <v/>
      </c>
      <c r="M48" s="179" t="str">
        <f t="shared" si="86"/>
        <v/>
      </c>
      <c r="N48" s="268" t="str">
        <f>IF(ISNA(VLOOKUP(B48,Master!AQ$59:BC$106,12,FALSE)),"",VLOOKUP(B48,Master!AQ$59:BC$106,12,FALSE))</f>
        <v/>
      </c>
      <c r="O48" s="262"/>
      <c r="P48" s="262"/>
      <c r="Q48" s="262"/>
      <c r="R48" s="262">
        <f t="shared" si="87"/>
        <v>0</v>
      </c>
      <c r="S48" s="102">
        <f t="shared" si="103"/>
        <v>1</v>
      </c>
      <c r="T48" s="1" t="str">
        <f>IF(ISNA(VLOOKUP(B48,Master!AQ$59:BC$106,10,FALSE)),"",VLOOKUP(B48,Master!AQ$59:BC$106,10,FALSE))</f>
        <v/>
      </c>
      <c r="U48" s="127"/>
      <c r="V48" s="127"/>
      <c r="W48" s="128" t="str">
        <f>IF(ISNA(VLOOKUP(B48,Master!AQ$59:BC$106,11,FALSE)),"",VLOOKUP(B48,Master!AQ$59:BC$106,11,FALSE))</f>
        <v/>
      </c>
      <c r="X48" s="128" t="str">
        <f>IF(ISNA(VLOOKUP(B48,Master!AQ$59:BC$106,9,FALSE)),"",VLOOKUP(B48,Master!AQ$59:BC$106,9,FALSE))</f>
        <v/>
      </c>
      <c r="Y48" s="129">
        <f t="shared" si="55"/>
        <v>0</v>
      </c>
      <c r="Z48" s="129">
        <f t="shared" si="56"/>
        <v>0</v>
      </c>
      <c r="AA48" s="129">
        <f t="shared" si="57"/>
        <v>0</v>
      </c>
      <c r="AB48" s="129">
        <f t="shared" si="58"/>
        <v>0</v>
      </c>
      <c r="AC48" s="129">
        <f t="shared" si="59"/>
        <v>0</v>
      </c>
      <c r="AD48" s="129">
        <f t="shared" si="60"/>
        <v>0</v>
      </c>
      <c r="AE48" s="130" t="str">
        <f t="shared" si="88"/>
        <v/>
      </c>
      <c r="AF48" s="130" t="str">
        <f t="shared" si="89"/>
        <v/>
      </c>
      <c r="AG48" s="130" t="str">
        <f t="shared" si="90"/>
        <v/>
      </c>
      <c r="AH48" s="130" t="str">
        <f t="shared" si="91"/>
        <v/>
      </c>
      <c r="AI48" s="130" t="str">
        <f t="shared" si="92"/>
        <v/>
      </c>
      <c r="AJ48" s="128" t="str">
        <f t="shared" si="93"/>
        <v/>
      </c>
      <c r="AK48" s="128">
        <v>0</v>
      </c>
      <c r="AL48" s="129">
        <v>0</v>
      </c>
      <c r="AM48" s="128" t="str">
        <f t="shared" si="94"/>
        <v/>
      </c>
      <c r="AN48" s="129">
        <f t="shared" si="61"/>
        <v>0</v>
      </c>
      <c r="AO48" s="128">
        <f t="shared" si="48"/>
        <v>0</v>
      </c>
      <c r="AP48" s="128">
        <f t="shared" si="62"/>
        <v>0</v>
      </c>
      <c r="AQ48" s="128">
        <f t="shared" si="63"/>
        <v>0</v>
      </c>
      <c r="AR48" s="128">
        <f t="shared" si="64"/>
        <v>0</v>
      </c>
      <c r="AS48" s="130">
        <f t="shared" si="65"/>
        <v>0</v>
      </c>
      <c r="AT48" s="130">
        <f t="shared" si="66"/>
        <v>0</v>
      </c>
      <c r="AU48" s="128"/>
      <c r="AV48" s="128"/>
      <c r="AW48" s="130">
        <f t="shared" si="95"/>
        <v>0</v>
      </c>
      <c r="AX48" s="130">
        <f t="shared" si="67"/>
        <v>0</v>
      </c>
      <c r="AY48" s="130">
        <f t="shared" si="68"/>
        <v>0</v>
      </c>
      <c r="AZ48" s="130">
        <f t="shared" si="69"/>
        <v>0</v>
      </c>
      <c r="BA48" s="130">
        <f t="shared" si="70"/>
        <v>0</v>
      </c>
      <c r="BB48" s="128">
        <f t="shared" si="96"/>
        <v>0</v>
      </c>
      <c r="BC48" s="128">
        <f t="shared" si="71"/>
        <v>0</v>
      </c>
      <c r="BD48" s="129">
        <v>0</v>
      </c>
      <c r="BE48" s="128">
        <f t="shared" si="97"/>
        <v>0</v>
      </c>
      <c r="BF48" s="129">
        <f t="shared" si="72"/>
        <v>0</v>
      </c>
      <c r="BG48" s="128">
        <f t="shared" si="49"/>
        <v>0</v>
      </c>
      <c r="BH48" s="128">
        <f t="shared" si="73"/>
        <v>0</v>
      </c>
      <c r="BI48" s="128">
        <f t="shared" si="74"/>
        <v>0</v>
      </c>
      <c r="BJ48" s="128">
        <f t="shared" si="75"/>
        <v>0</v>
      </c>
      <c r="BK48" s="130">
        <f t="shared" si="98"/>
        <v>0</v>
      </c>
      <c r="BL48" s="130">
        <f t="shared" si="99"/>
        <v>0</v>
      </c>
      <c r="BM48" s="128"/>
      <c r="BN48" s="128"/>
      <c r="BO48" s="130">
        <f t="shared" si="100"/>
        <v>0</v>
      </c>
      <c r="BP48" s="124">
        <f t="shared" si="76"/>
        <v>0</v>
      </c>
      <c r="BQ48" s="124">
        <f t="shared" si="77"/>
        <v>1</v>
      </c>
      <c r="BR48" s="124">
        <f t="shared" si="78"/>
        <v>0</v>
      </c>
      <c r="BS48" s="124">
        <f t="shared" si="79"/>
        <v>0</v>
      </c>
      <c r="BT48" s="124">
        <f t="shared" si="50"/>
        <v>0</v>
      </c>
      <c r="BU48" s="124">
        <f t="shared" si="101"/>
        <v>1</v>
      </c>
      <c r="BV48" s="110">
        <f t="shared" si="80"/>
        <v>0</v>
      </c>
      <c r="BW48" s="131">
        <f t="shared" si="102"/>
        <v>1</v>
      </c>
      <c r="BX48" s="110">
        <f t="shared" si="52"/>
        <v>0</v>
      </c>
      <c r="BY48" s="110">
        <f t="shared" si="53"/>
        <v>0</v>
      </c>
      <c r="BZ48" s="99" t="str">
        <f t="shared" si="81"/>
        <v/>
      </c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Z48" s="99"/>
    </row>
    <row r="49" spans="1:104" s="126" customFormat="1" ht="18.75">
      <c r="A49" s="179">
        <v>2202</v>
      </c>
      <c r="B49" s="179">
        <v>23</v>
      </c>
      <c r="C49" s="180" t="str">
        <f>IF(ISNA(VLOOKUP(B49,Master!AQ$59:BC$106,3,FALSE)),"",VLOOKUP(B49,Master!AQ$59:BC$106,3,FALSE))</f>
        <v/>
      </c>
      <c r="D49" s="181" t="str">
        <f>IF(ISNA(VLOOKUP(B49,Master!AQ$59:BC$106,7,FALSE)),"",VLOOKUP(B49,Master!AQ$59:BC$106,7,FALSE))</f>
        <v/>
      </c>
      <c r="E49" s="182" t="str">
        <f>IF(ISNA(VLOOKUP(B49,Master!AQ$59:BC$106,8,FALSE)),"",VLOOKUP(B49,Master!AQ$59:BC$106,8,FALSE))</f>
        <v/>
      </c>
      <c r="F49" s="183" t="str">
        <f>IF(ISNA(VLOOKUP(B49,Master!AQ$59:BC$106,4,FALSE)),"",VLOOKUP(B49,Master!AQ$59:BC$106,4,FALSE))</f>
        <v/>
      </c>
      <c r="G49" s="184" t="str">
        <f>IF(ISNA(VLOOKUP(B49,Master!AQ$59:BC$106,5,FALSE)),"",VLOOKUP(B49,Master!AQ$59:BC$106,5,FALSE))</f>
        <v/>
      </c>
      <c r="H49" s="185" t="str">
        <f>IF(ISNA(VLOOKUP(B49,Master!AQ$59:BC$106,6,FALSE)),"",VLOOKUP(B49,Master!AQ$59:BC$106,6,FALSE))</f>
        <v/>
      </c>
      <c r="I49" s="179" t="str">
        <f t="shared" si="82"/>
        <v/>
      </c>
      <c r="J49" s="181" t="str">
        <f t="shared" ca="1" si="83"/>
        <v/>
      </c>
      <c r="K49" s="179" t="str">
        <f t="shared" si="84"/>
        <v/>
      </c>
      <c r="L49" s="179" t="str">
        <f t="shared" si="85"/>
        <v/>
      </c>
      <c r="M49" s="179" t="str">
        <f t="shared" si="86"/>
        <v/>
      </c>
      <c r="N49" s="268" t="str">
        <f>IF(ISNA(VLOOKUP(B49,Master!AQ$59:BC$106,12,FALSE)),"",VLOOKUP(B49,Master!AQ$59:BC$106,12,FALSE))</f>
        <v/>
      </c>
      <c r="O49" s="262"/>
      <c r="P49" s="262"/>
      <c r="Q49" s="262"/>
      <c r="R49" s="262">
        <f t="shared" si="87"/>
        <v>0</v>
      </c>
      <c r="S49" s="102">
        <f t="shared" si="103"/>
        <v>1</v>
      </c>
      <c r="T49" s="1" t="str">
        <f>IF(ISNA(VLOOKUP(B49,Master!AQ$59:BC$106,10,FALSE)),"",VLOOKUP(B49,Master!AQ$59:BC$106,10,FALSE))</f>
        <v/>
      </c>
      <c r="U49" s="127"/>
      <c r="V49" s="127"/>
      <c r="W49" s="128" t="str">
        <f>IF(ISNA(VLOOKUP(B49,Master!AQ$59:BC$106,11,FALSE)),"",VLOOKUP(B49,Master!AQ$59:BC$106,11,FALSE))</f>
        <v/>
      </c>
      <c r="X49" s="128" t="str">
        <f>IF(ISNA(VLOOKUP(B49,Master!AQ$59:BC$106,9,FALSE)),"",VLOOKUP(B49,Master!AQ$59:BC$106,9,FALSE))</f>
        <v/>
      </c>
      <c r="Y49" s="129">
        <f t="shared" si="55"/>
        <v>0</v>
      </c>
      <c r="Z49" s="129">
        <f t="shared" si="56"/>
        <v>0</v>
      </c>
      <c r="AA49" s="129">
        <f t="shared" si="57"/>
        <v>0</v>
      </c>
      <c r="AB49" s="129">
        <f t="shared" si="58"/>
        <v>0</v>
      </c>
      <c r="AC49" s="129">
        <f t="shared" si="59"/>
        <v>0</v>
      </c>
      <c r="AD49" s="129">
        <f t="shared" si="60"/>
        <v>0</v>
      </c>
      <c r="AE49" s="130" t="str">
        <f t="shared" si="88"/>
        <v/>
      </c>
      <c r="AF49" s="130" t="str">
        <f t="shared" si="89"/>
        <v/>
      </c>
      <c r="AG49" s="130" t="str">
        <f t="shared" si="90"/>
        <v/>
      </c>
      <c r="AH49" s="130" t="str">
        <f t="shared" si="91"/>
        <v/>
      </c>
      <c r="AI49" s="130" t="str">
        <f t="shared" si="92"/>
        <v/>
      </c>
      <c r="AJ49" s="128" t="str">
        <f t="shared" si="93"/>
        <v/>
      </c>
      <c r="AK49" s="128">
        <v>0</v>
      </c>
      <c r="AL49" s="129">
        <v>0</v>
      </c>
      <c r="AM49" s="128" t="str">
        <f t="shared" si="94"/>
        <v/>
      </c>
      <c r="AN49" s="129">
        <f t="shared" si="61"/>
        <v>0</v>
      </c>
      <c r="AO49" s="128">
        <f t="shared" si="48"/>
        <v>0</v>
      </c>
      <c r="AP49" s="128">
        <f t="shared" si="62"/>
        <v>0</v>
      </c>
      <c r="AQ49" s="128">
        <f t="shared" si="63"/>
        <v>0</v>
      </c>
      <c r="AR49" s="128">
        <f t="shared" si="64"/>
        <v>0</v>
      </c>
      <c r="AS49" s="130">
        <f t="shared" si="65"/>
        <v>0</v>
      </c>
      <c r="AT49" s="130">
        <f t="shared" si="66"/>
        <v>0</v>
      </c>
      <c r="AU49" s="128"/>
      <c r="AV49" s="128"/>
      <c r="AW49" s="130">
        <f t="shared" si="95"/>
        <v>0</v>
      </c>
      <c r="AX49" s="130">
        <f t="shared" si="67"/>
        <v>0</v>
      </c>
      <c r="AY49" s="130">
        <f t="shared" si="68"/>
        <v>0</v>
      </c>
      <c r="AZ49" s="130">
        <f t="shared" si="69"/>
        <v>0</v>
      </c>
      <c r="BA49" s="130">
        <f t="shared" si="70"/>
        <v>0</v>
      </c>
      <c r="BB49" s="128">
        <f t="shared" si="96"/>
        <v>0</v>
      </c>
      <c r="BC49" s="128">
        <f t="shared" si="71"/>
        <v>0</v>
      </c>
      <c r="BD49" s="129">
        <v>0</v>
      </c>
      <c r="BE49" s="128">
        <f t="shared" si="97"/>
        <v>0</v>
      </c>
      <c r="BF49" s="129">
        <f t="shared" si="72"/>
        <v>0</v>
      </c>
      <c r="BG49" s="128">
        <f t="shared" si="49"/>
        <v>0</v>
      </c>
      <c r="BH49" s="128">
        <f t="shared" si="73"/>
        <v>0</v>
      </c>
      <c r="BI49" s="128">
        <f t="shared" si="74"/>
        <v>0</v>
      </c>
      <c r="BJ49" s="128">
        <f t="shared" si="75"/>
        <v>0</v>
      </c>
      <c r="BK49" s="130">
        <f t="shared" si="98"/>
        <v>0</v>
      </c>
      <c r="BL49" s="130">
        <f t="shared" si="99"/>
        <v>0</v>
      </c>
      <c r="BM49" s="128"/>
      <c r="BN49" s="128"/>
      <c r="BO49" s="130">
        <f t="shared" si="100"/>
        <v>0</v>
      </c>
      <c r="BP49" s="124">
        <f t="shared" si="76"/>
        <v>0</v>
      </c>
      <c r="BQ49" s="124">
        <f t="shared" si="77"/>
        <v>1</v>
      </c>
      <c r="BR49" s="124">
        <f t="shared" si="78"/>
        <v>0</v>
      </c>
      <c r="BS49" s="124">
        <f t="shared" si="79"/>
        <v>0</v>
      </c>
      <c r="BT49" s="124">
        <f t="shared" si="50"/>
        <v>0</v>
      </c>
      <c r="BU49" s="124">
        <f t="shared" si="101"/>
        <v>1</v>
      </c>
      <c r="BV49" s="110">
        <f t="shared" si="80"/>
        <v>0</v>
      </c>
      <c r="BW49" s="131">
        <f t="shared" si="102"/>
        <v>1</v>
      </c>
      <c r="BX49" s="110">
        <f t="shared" si="52"/>
        <v>0</v>
      </c>
      <c r="BY49" s="110">
        <f t="shared" si="53"/>
        <v>0</v>
      </c>
      <c r="BZ49" s="99" t="str">
        <f t="shared" si="81"/>
        <v/>
      </c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Z49" s="99"/>
    </row>
    <row r="50" spans="1:104" s="126" customFormat="1" ht="18.75">
      <c r="A50" s="179">
        <v>2202</v>
      </c>
      <c r="B50" s="179">
        <v>24</v>
      </c>
      <c r="C50" s="180" t="str">
        <f>IF(ISNA(VLOOKUP(B50,Master!AQ$59:BC$106,3,FALSE)),"",VLOOKUP(B50,Master!AQ$59:BC$106,3,FALSE))</f>
        <v/>
      </c>
      <c r="D50" s="181" t="str">
        <f>IF(ISNA(VLOOKUP(B50,Master!AQ$59:BC$106,7,FALSE)),"",VLOOKUP(B50,Master!AQ$59:BC$106,7,FALSE))</f>
        <v/>
      </c>
      <c r="E50" s="182" t="str">
        <f>IF(ISNA(VLOOKUP(B50,Master!AQ$59:BC$106,8,FALSE)),"",VLOOKUP(B50,Master!AQ$59:BC$106,8,FALSE))</f>
        <v/>
      </c>
      <c r="F50" s="183" t="str">
        <f>IF(ISNA(VLOOKUP(B50,Master!AQ$59:BC$106,4,FALSE)),"",VLOOKUP(B50,Master!AQ$59:BC$106,4,FALSE))</f>
        <v/>
      </c>
      <c r="G50" s="184" t="str">
        <f>IF(ISNA(VLOOKUP(B50,Master!AQ$59:BC$106,5,FALSE)),"",VLOOKUP(B50,Master!AQ$59:BC$106,5,FALSE))</f>
        <v/>
      </c>
      <c r="H50" s="185" t="str">
        <f>IF(ISNA(VLOOKUP(B50,Master!AQ$59:BC$106,6,FALSE)),"",VLOOKUP(B50,Master!AQ$59:BC$106,6,FALSE))</f>
        <v/>
      </c>
      <c r="I50" s="179" t="str">
        <f t="shared" si="82"/>
        <v/>
      </c>
      <c r="J50" s="181" t="str">
        <f t="shared" ca="1" si="83"/>
        <v/>
      </c>
      <c r="K50" s="179" t="str">
        <f t="shared" si="84"/>
        <v/>
      </c>
      <c r="L50" s="179" t="str">
        <f t="shared" si="85"/>
        <v/>
      </c>
      <c r="M50" s="179" t="str">
        <f t="shared" si="86"/>
        <v/>
      </c>
      <c r="N50" s="268" t="str">
        <f>IF(ISNA(VLOOKUP(B50,Master!AQ$59:BC$106,12,FALSE)),"",VLOOKUP(B50,Master!AQ$59:BC$106,12,FALSE))</f>
        <v/>
      </c>
      <c r="O50" s="262"/>
      <c r="P50" s="262"/>
      <c r="Q50" s="262"/>
      <c r="R50" s="262">
        <f t="shared" si="87"/>
        <v>0</v>
      </c>
      <c r="S50" s="102">
        <f t="shared" si="103"/>
        <v>1</v>
      </c>
      <c r="T50" s="1" t="str">
        <f>IF(ISNA(VLOOKUP(B50,Master!AQ$59:BC$106,10,FALSE)),"",VLOOKUP(B50,Master!AQ$59:BC$106,10,FALSE))</f>
        <v/>
      </c>
      <c r="U50" s="127"/>
      <c r="V50" s="127"/>
      <c r="W50" s="128" t="str">
        <f>IF(ISNA(VLOOKUP(B50,Master!AQ$59:BC$106,11,FALSE)),"",VLOOKUP(B50,Master!AQ$59:BC$106,11,FALSE))</f>
        <v/>
      </c>
      <c r="X50" s="128" t="str">
        <f>IF(ISNA(VLOOKUP(B50,Master!AQ$59:BC$106,9,FALSE)),"",VLOOKUP(B50,Master!AQ$59:BC$106,9,FALSE))</f>
        <v/>
      </c>
      <c r="Y50" s="129">
        <f t="shared" si="55"/>
        <v>0</v>
      </c>
      <c r="Z50" s="129">
        <f t="shared" si="56"/>
        <v>0</v>
      </c>
      <c r="AA50" s="129">
        <f t="shared" si="57"/>
        <v>0</v>
      </c>
      <c r="AB50" s="129">
        <f t="shared" si="58"/>
        <v>0</v>
      </c>
      <c r="AC50" s="129">
        <f t="shared" si="59"/>
        <v>0</v>
      </c>
      <c r="AD50" s="129">
        <f t="shared" si="60"/>
        <v>0</v>
      </c>
      <c r="AE50" s="130" t="str">
        <f t="shared" si="88"/>
        <v/>
      </c>
      <c r="AF50" s="130" t="str">
        <f t="shared" si="89"/>
        <v/>
      </c>
      <c r="AG50" s="130" t="str">
        <f t="shared" si="90"/>
        <v/>
      </c>
      <c r="AH50" s="130" t="str">
        <f t="shared" si="91"/>
        <v/>
      </c>
      <c r="AI50" s="130" t="str">
        <f t="shared" si="92"/>
        <v/>
      </c>
      <c r="AJ50" s="128" t="str">
        <f t="shared" si="93"/>
        <v/>
      </c>
      <c r="AK50" s="128">
        <v>0</v>
      </c>
      <c r="AL50" s="129">
        <v>0</v>
      </c>
      <c r="AM50" s="128" t="str">
        <f t="shared" si="94"/>
        <v/>
      </c>
      <c r="AN50" s="129">
        <f t="shared" si="61"/>
        <v>0</v>
      </c>
      <c r="AO50" s="128">
        <f t="shared" si="48"/>
        <v>0</v>
      </c>
      <c r="AP50" s="128">
        <f t="shared" si="62"/>
        <v>0</v>
      </c>
      <c r="AQ50" s="128">
        <f t="shared" si="63"/>
        <v>0</v>
      </c>
      <c r="AR50" s="128">
        <f t="shared" si="64"/>
        <v>0</v>
      </c>
      <c r="AS50" s="130">
        <f t="shared" si="65"/>
        <v>0</v>
      </c>
      <c r="AT50" s="130">
        <f t="shared" si="66"/>
        <v>0</v>
      </c>
      <c r="AU50" s="128"/>
      <c r="AV50" s="128"/>
      <c r="AW50" s="130">
        <f t="shared" si="95"/>
        <v>0</v>
      </c>
      <c r="AX50" s="130">
        <f t="shared" si="67"/>
        <v>0</v>
      </c>
      <c r="AY50" s="130">
        <f t="shared" si="68"/>
        <v>0</v>
      </c>
      <c r="AZ50" s="130">
        <f t="shared" si="69"/>
        <v>0</v>
      </c>
      <c r="BA50" s="130">
        <f t="shared" si="70"/>
        <v>0</v>
      </c>
      <c r="BB50" s="128">
        <f t="shared" si="96"/>
        <v>0</v>
      </c>
      <c r="BC50" s="128">
        <f t="shared" si="71"/>
        <v>0</v>
      </c>
      <c r="BD50" s="129">
        <v>0</v>
      </c>
      <c r="BE50" s="128">
        <f t="shared" si="97"/>
        <v>0</v>
      </c>
      <c r="BF50" s="129">
        <f t="shared" si="72"/>
        <v>0</v>
      </c>
      <c r="BG50" s="128">
        <f t="shared" si="49"/>
        <v>0</v>
      </c>
      <c r="BH50" s="128">
        <f t="shared" si="73"/>
        <v>0</v>
      </c>
      <c r="BI50" s="128">
        <f t="shared" si="74"/>
        <v>0</v>
      </c>
      <c r="BJ50" s="128">
        <f t="shared" si="75"/>
        <v>0</v>
      </c>
      <c r="BK50" s="130">
        <f t="shared" si="98"/>
        <v>0</v>
      </c>
      <c r="BL50" s="130">
        <f t="shared" si="99"/>
        <v>0</v>
      </c>
      <c r="BM50" s="128"/>
      <c r="BN50" s="128"/>
      <c r="BO50" s="130">
        <f t="shared" si="100"/>
        <v>0</v>
      </c>
      <c r="BP50" s="124">
        <f t="shared" si="76"/>
        <v>0</v>
      </c>
      <c r="BQ50" s="124">
        <f t="shared" si="77"/>
        <v>1</v>
      </c>
      <c r="BR50" s="124">
        <f t="shared" si="78"/>
        <v>0</v>
      </c>
      <c r="BS50" s="124">
        <f t="shared" si="79"/>
        <v>0</v>
      </c>
      <c r="BT50" s="124">
        <f t="shared" si="50"/>
        <v>0</v>
      </c>
      <c r="BU50" s="124">
        <f t="shared" si="101"/>
        <v>1</v>
      </c>
      <c r="BV50" s="110">
        <f t="shared" si="80"/>
        <v>0</v>
      </c>
      <c r="BW50" s="131">
        <f t="shared" si="102"/>
        <v>1</v>
      </c>
      <c r="BX50" s="110">
        <f t="shared" si="52"/>
        <v>0</v>
      </c>
      <c r="BY50" s="110">
        <f t="shared" si="53"/>
        <v>0</v>
      </c>
      <c r="BZ50" s="99" t="str">
        <f t="shared" si="81"/>
        <v/>
      </c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Z50" s="99"/>
    </row>
    <row r="51" spans="1:104" s="126" customFormat="1" ht="18.75">
      <c r="A51" s="179">
        <v>2202</v>
      </c>
      <c r="B51" s="179">
        <v>25</v>
      </c>
      <c r="C51" s="180" t="str">
        <f>IF(ISNA(VLOOKUP(B51,Master!AQ$59:BC$106,3,FALSE)),"",VLOOKUP(B51,Master!AQ$59:BC$106,3,FALSE))</f>
        <v/>
      </c>
      <c r="D51" s="181" t="str">
        <f>IF(ISNA(VLOOKUP(B51,Master!AQ$59:BC$106,7,FALSE)),"",VLOOKUP(B51,Master!AQ$59:BC$106,7,FALSE))</f>
        <v/>
      </c>
      <c r="E51" s="182" t="str">
        <f>IF(ISNA(VLOOKUP(B51,Master!AQ$59:BC$106,8,FALSE)),"",VLOOKUP(B51,Master!AQ$59:BC$106,8,FALSE))</f>
        <v/>
      </c>
      <c r="F51" s="183" t="str">
        <f>IF(ISNA(VLOOKUP(B51,Master!AQ$59:BC$106,4,FALSE)),"",VLOOKUP(B51,Master!AQ$59:BC$106,4,FALSE))</f>
        <v/>
      </c>
      <c r="G51" s="184" t="str">
        <f>IF(ISNA(VLOOKUP(B51,Master!AQ$59:BC$106,5,FALSE)),"",VLOOKUP(B51,Master!AQ$59:BC$106,5,FALSE))</f>
        <v/>
      </c>
      <c r="H51" s="185" t="str">
        <f>IF(ISNA(VLOOKUP(B51,Master!AQ$59:BC$106,6,FALSE)),"",VLOOKUP(B51,Master!AQ$59:BC$106,6,FALSE))</f>
        <v/>
      </c>
      <c r="I51" s="179" t="str">
        <f t="shared" si="82"/>
        <v/>
      </c>
      <c r="J51" s="181" t="str">
        <f t="shared" ca="1" si="83"/>
        <v/>
      </c>
      <c r="K51" s="179" t="str">
        <f t="shared" si="84"/>
        <v/>
      </c>
      <c r="L51" s="179" t="str">
        <f t="shared" si="85"/>
        <v/>
      </c>
      <c r="M51" s="179" t="str">
        <f t="shared" si="86"/>
        <v/>
      </c>
      <c r="N51" s="268" t="str">
        <f>IF(ISNA(VLOOKUP(B51,Master!AQ$59:BC$106,12,FALSE)),"",VLOOKUP(B51,Master!AQ$59:BC$106,12,FALSE))</f>
        <v/>
      </c>
      <c r="O51" s="262"/>
      <c r="P51" s="262"/>
      <c r="Q51" s="262"/>
      <c r="R51" s="262">
        <f t="shared" si="87"/>
        <v>0</v>
      </c>
      <c r="S51" s="102">
        <f t="shared" si="103"/>
        <v>1</v>
      </c>
      <c r="T51" s="1" t="str">
        <f>IF(ISNA(VLOOKUP(B51,Master!AQ$59:BC$106,10,FALSE)),"",VLOOKUP(B51,Master!AQ$59:BC$106,10,FALSE))</f>
        <v/>
      </c>
      <c r="U51" s="127"/>
      <c r="V51" s="127"/>
      <c r="W51" s="128" t="str">
        <f>IF(ISNA(VLOOKUP(B51,Master!AQ$59:BC$106,11,FALSE)),"",VLOOKUP(B51,Master!AQ$59:BC$106,11,FALSE))</f>
        <v/>
      </c>
      <c r="X51" s="128" t="str">
        <f>IF(ISNA(VLOOKUP(B51,Master!AQ$59:BC$106,9,FALSE)),"",VLOOKUP(B51,Master!AQ$59:BC$106,9,FALSE))</f>
        <v/>
      </c>
      <c r="Y51" s="129">
        <f t="shared" si="55"/>
        <v>0</v>
      </c>
      <c r="Z51" s="129">
        <f t="shared" si="56"/>
        <v>0</v>
      </c>
      <c r="AA51" s="129">
        <f t="shared" si="57"/>
        <v>0</v>
      </c>
      <c r="AB51" s="129">
        <f t="shared" si="58"/>
        <v>0</v>
      </c>
      <c r="AC51" s="129">
        <f t="shared" si="59"/>
        <v>0</v>
      </c>
      <c r="AD51" s="129">
        <f t="shared" si="60"/>
        <v>0</v>
      </c>
      <c r="AE51" s="130" t="str">
        <f t="shared" si="88"/>
        <v/>
      </c>
      <c r="AF51" s="130" t="str">
        <f t="shared" si="89"/>
        <v/>
      </c>
      <c r="AG51" s="130" t="str">
        <f t="shared" si="90"/>
        <v/>
      </c>
      <c r="AH51" s="130" t="str">
        <f t="shared" si="91"/>
        <v/>
      </c>
      <c r="AI51" s="130" t="str">
        <f t="shared" si="92"/>
        <v/>
      </c>
      <c r="AJ51" s="128" t="str">
        <f t="shared" si="93"/>
        <v/>
      </c>
      <c r="AK51" s="128">
        <v>0</v>
      </c>
      <c r="AL51" s="129">
        <v>0</v>
      </c>
      <c r="AM51" s="128" t="str">
        <f t="shared" si="94"/>
        <v/>
      </c>
      <c r="AN51" s="129">
        <f t="shared" si="61"/>
        <v>0</v>
      </c>
      <c r="AO51" s="128">
        <f t="shared" si="48"/>
        <v>0</v>
      </c>
      <c r="AP51" s="128">
        <f t="shared" si="62"/>
        <v>0</v>
      </c>
      <c r="AQ51" s="128">
        <f t="shared" si="63"/>
        <v>0</v>
      </c>
      <c r="AR51" s="128">
        <f t="shared" si="64"/>
        <v>0</v>
      </c>
      <c r="AS51" s="130">
        <f t="shared" si="65"/>
        <v>0</v>
      </c>
      <c r="AT51" s="130">
        <f t="shared" si="66"/>
        <v>0</v>
      </c>
      <c r="AU51" s="128"/>
      <c r="AV51" s="128"/>
      <c r="AW51" s="130">
        <f t="shared" si="95"/>
        <v>0</v>
      </c>
      <c r="AX51" s="130">
        <f t="shared" si="67"/>
        <v>0</v>
      </c>
      <c r="AY51" s="130">
        <f t="shared" si="68"/>
        <v>0</v>
      </c>
      <c r="AZ51" s="130">
        <f t="shared" si="69"/>
        <v>0</v>
      </c>
      <c r="BA51" s="130">
        <f t="shared" si="70"/>
        <v>0</v>
      </c>
      <c r="BB51" s="128">
        <f t="shared" si="96"/>
        <v>0</v>
      </c>
      <c r="BC51" s="128">
        <f t="shared" si="71"/>
        <v>0</v>
      </c>
      <c r="BD51" s="129">
        <v>0</v>
      </c>
      <c r="BE51" s="128">
        <f t="shared" si="97"/>
        <v>0</v>
      </c>
      <c r="BF51" s="129">
        <f t="shared" si="72"/>
        <v>0</v>
      </c>
      <c r="BG51" s="128">
        <f t="shared" si="49"/>
        <v>0</v>
      </c>
      <c r="BH51" s="128">
        <f t="shared" si="73"/>
        <v>0</v>
      </c>
      <c r="BI51" s="128">
        <f t="shared" si="74"/>
        <v>0</v>
      </c>
      <c r="BJ51" s="128">
        <f t="shared" si="75"/>
        <v>0</v>
      </c>
      <c r="BK51" s="130">
        <f t="shared" si="98"/>
        <v>0</v>
      </c>
      <c r="BL51" s="130">
        <f t="shared" si="99"/>
        <v>0</v>
      </c>
      <c r="BM51" s="128"/>
      <c r="BN51" s="128"/>
      <c r="BO51" s="130">
        <f t="shared" si="100"/>
        <v>0</v>
      </c>
      <c r="BP51" s="124">
        <f t="shared" si="76"/>
        <v>0</v>
      </c>
      <c r="BQ51" s="124">
        <f t="shared" si="77"/>
        <v>1</v>
      </c>
      <c r="BR51" s="124">
        <f t="shared" si="78"/>
        <v>0</v>
      </c>
      <c r="BS51" s="124">
        <f t="shared" si="79"/>
        <v>0</v>
      </c>
      <c r="BT51" s="124">
        <f t="shared" si="50"/>
        <v>0</v>
      </c>
      <c r="BU51" s="124">
        <f t="shared" si="101"/>
        <v>1</v>
      </c>
      <c r="BV51" s="110">
        <f t="shared" si="80"/>
        <v>0</v>
      </c>
      <c r="BW51" s="131">
        <f t="shared" si="102"/>
        <v>1</v>
      </c>
      <c r="BX51" s="110">
        <f t="shared" si="52"/>
        <v>0</v>
      </c>
      <c r="BY51" s="110">
        <f t="shared" si="53"/>
        <v>0</v>
      </c>
      <c r="BZ51" s="99" t="str">
        <f t="shared" si="81"/>
        <v/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Z51" s="99"/>
    </row>
    <row r="52" spans="1:104" s="126" customFormat="1" ht="18.75">
      <c r="A52" s="179">
        <v>2202</v>
      </c>
      <c r="B52" s="179">
        <v>26</v>
      </c>
      <c r="C52" s="180" t="str">
        <f>IF(ISNA(VLOOKUP(B52,Master!AQ$59:BC$106,3,FALSE)),"",VLOOKUP(B52,Master!AQ$59:BC$106,3,FALSE))</f>
        <v/>
      </c>
      <c r="D52" s="181" t="str">
        <f>IF(ISNA(VLOOKUP(B52,Master!AQ$59:BC$106,7,FALSE)),"",VLOOKUP(B52,Master!AQ$59:BC$106,7,FALSE))</f>
        <v/>
      </c>
      <c r="E52" s="182" t="str">
        <f>IF(ISNA(VLOOKUP(B52,Master!AQ$59:BC$106,8,FALSE)),"",VLOOKUP(B52,Master!AQ$59:BC$106,8,FALSE))</f>
        <v/>
      </c>
      <c r="F52" s="183" t="str">
        <f>IF(ISNA(VLOOKUP(B52,Master!AQ$59:BC$106,4,FALSE)),"",VLOOKUP(B52,Master!AQ$59:BC$106,4,FALSE))</f>
        <v/>
      </c>
      <c r="G52" s="184" t="str">
        <f>IF(ISNA(VLOOKUP(B52,Master!AQ$59:BC$106,5,FALSE)),"",VLOOKUP(B52,Master!AQ$59:BC$106,5,FALSE))</f>
        <v/>
      </c>
      <c r="H52" s="185" t="str">
        <f>IF(ISNA(VLOOKUP(B52,Master!AQ$59:BC$106,6,FALSE)),"",VLOOKUP(B52,Master!AQ$59:BC$106,6,FALSE))</f>
        <v/>
      </c>
      <c r="I52" s="179" t="str">
        <f t="shared" si="82"/>
        <v/>
      </c>
      <c r="J52" s="181" t="str">
        <f t="shared" ca="1" si="83"/>
        <v/>
      </c>
      <c r="K52" s="179" t="str">
        <f t="shared" si="84"/>
        <v/>
      </c>
      <c r="L52" s="179" t="str">
        <f t="shared" si="85"/>
        <v/>
      </c>
      <c r="M52" s="179" t="str">
        <f t="shared" si="86"/>
        <v/>
      </c>
      <c r="N52" s="268" t="str">
        <f>IF(ISNA(VLOOKUP(B52,Master!AQ$59:BC$106,12,FALSE)),"",VLOOKUP(B52,Master!AQ$59:BC$106,12,FALSE))</f>
        <v/>
      </c>
      <c r="O52" s="262"/>
      <c r="P52" s="262"/>
      <c r="Q52" s="262"/>
      <c r="R52" s="262">
        <f t="shared" si="87"/>
        <v>0</v>
      </c>
      <c r="S52" s="102">
        <f t="shared" si="103"/>
        <v>1</v>
      </c>
      <c r="T52" s="1" t="str">
        <f>IF(ISNA(VLOOKUP(B52,Master!AQ$59:BC$106,10,FALSE)),"",VLOOKUP(B52,Master!AQ$59:BC$106,10,FALSE))</f>
        <v/>
      </c>
      <c r="U52" s="127"/>
      <c r="V52" s="127"/>
      <c r="W52" s="128" t="str">
        <f>IF(ISNA(VLOOKUP(B52,Master!AQ$59:BC$106,11,FALSE)),"",VLOOKUP(B52,Master!AQ$59:BC$106,11,FALSE))</f>
        <v/>
      </c>
      <c r="X52" s="128" t="str">
        <f>IF(ISNA(VLOOKUP(B52,Master!AQ$59:BC$106,9,FALSE)),"",VLOOKUP(B52,Master!AQ$59:BC$106,9,FALSE))</f>
        <v/>
      </c>
      <c r="Y52" s="129">
        <f t="shared" si="55"/>
        <v>0</v>
      </c>
      <c r="Z52" s="129">
        <f t="shared" si="56"/>
        <v>0</v>
      </c>
      <c r="AA52" s="129">
        <f t="shared" si="57"/>
        <v>0</v>
      </c>
      <c r="AB52" s="129">
        <f t="shared" si="58"/>
        <v>0</v>
      </c>
      <c r="AC52" s="129">
        <f t="shared" si="59"/>
        <v>0</v>
      </c>
      <c r="AD52" s="129">
        <f t="shared" si="60"/>
        <v>0</v>
      </c>
      <c r="AE52" s="130" t="str">
        <f t="shared" si="88"/>
        <v/>
      </c>
      <c r="AF52" s="130" t="str">
        <f t="shared" si="89"/>
        <v/>
      </c>
      <c r="AG52" s="130" t="str">
        <f t="shared" si="90"/>
        <v/>
      </c>
      <c r="AH52" s="130" t="str">
        <f t="shared" si="91"/>
        <v/>
      </c>
      <c r="AI52" s="130" t="str">
        <f t="shared" si="92"/>
        <v/>
      </c>
      <c r="AJ52" s="128" t="str">
        <f t="shared" si="93"/>
        <v/>
      </c>
      <c r="AK52" s="128">
        <v>0</v>
      </c>
      <c r="AL52" s="129">
        <v>0</v>
      </c>
      <c r="AM52" s="128" t="str">
        <f t="shared" si="94"/>
        <v/>
      </c>
      <c r="AN52" s="129">
        <f t="shared" si="61"/>
        <v>0</v>
      </c>
      <c r="AO52" s="128">
        <f t="shared" si="48"/>
        <v>0</v>
      </c>
      <c r="AP52" s="128">
        <f t="shared" si="62"/>
        <v>0</v>
      </c>
      <c r="AQ52" s="128">
        <f t="shared" si="63"/>
        <v>0</v>
      </c>
      <c r="AR52" s="128">
        <f t="shared" si="64"/>
        <v>0</v>
      </c>
      <c r="AS52" s="130">
        <f t="shared" si="65"/>
        <v>0</v>
      </c>
      <c r="AT52" s="130">
        <f t="shared" si="66"/>
        <v>0</v>
      </c>
      <c r="AU52" s="128"/>
      <c r="AV52" s="128"/>
      <c r="AW52" s="130">
        <f t="shared" si="95"/>
        <v>0</v>
      </c>
      <c r="AX52" s="130">
        <f t="shared" si="67"/>
        <v>0</v>
      </c>
      <c r="AY52" s="130">
        <f t="shared" si="68"/>
        <v>0</v>
      </c>
      <c r="AZ52" s="130">
        <f t="shared" si="69"/>
        <v>0</v>
      </c>
      <c r="BA52" s="130">
        <f t="shared" si="70"/>
        <v>0</v>
      </c>
      <c r="BB52" s="128">
        <f t="shared" si="96"/>
        <v>0</v>
      </c>
      <c r="BC52" s="128">
        <f t="shared" si="71"/>
        <v>0</v>
      </c>
      <c r="BD52" s="129">
        <v>0</v>
      </c>
      <c r="BE52" s="128">
        <f t="shared" si="97"/>
        <v>0</v>
      </c>
      <c r="BF52" s="129">
        <f t="shared" si="72"/>
        <v>0</v>
      </c>
      <c r="BG52" s="128">
        <f t="shared" si="49"/>
        <v>0</v>
      </c>
      <c r="BH52" s="128">
        <f t="shared" si="73"/>
        <v>0</v>
      </c>
      <c r="BI52" s="128">
        <f t="shared" si="74"/>
        <v>0</v>
      </c>
      <c r="BJ52" s="128">
        <f t="shared" si="75"/>
        <v>0</v>
      </c>
      <c r="BK52" s="130">
        <f t="shared" si="98"/>
        <v>0</v>
      </c>
      <c r="BL52" s="130">
        <f t="shared" si="99"/>
        <v>0</v>
      </c>
      <c r="BM52" s="128"/>
      <c r="BN52" s="128"/>
      <c r="BO52" s="130">
        <f t="shared" si="100"/>
        <v>0</v>
      </c>
      <c r="BP52" s="124">
        <f t="shared" si="76"/>
        <v>0</v>
      </c>
      <c r="BQ52" s="124">
        <f t="shared" si="77"/>
        <v>1</v>
      </c>
      <c r="BR52" s="124">
        <f t="shared" si="78"/>
        <v>0</v>
      </c>
      <c r="BS52" s="124">
        <f t="shared" si="79"/>
        <v>0</v>
      </c>
      <c r="BT52" s="124">
        <f t="shared" si="50"/>
        <v>0</v>
      </c>
      <c r="BU52" s="124">
        <f t="shared" si="101"/>
        <v>1</v>
      </c>
      <c r="BV52" s="110">
        <f t="shared" si="80"/>
        <v>0</v>
      </c>
      <c r="BW52" s="131">
        <f t="shared" si="102"/>
        <v>1</v>
      </c>
      <c r="BX52" s="110">
        <f t="shared" si="52"/>
        <v>0</v>
      </c>
      <c r="BY52" s="110">
        <f t="shared" si="53"/>
        <v>0</v>
      </c>
      <c r="BZ52" s="99" t="str">
        <f t="shared" si="81"/>
        <v/>
      </c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Z52" s="99"/>
    </row>
    <row r="53" spans="1:104" s="126" customFormat="1" ht="18.75">
      <c r="A53" s="179">
        <v>2202</v>
      </c>
      <c r="B53" s="179">
        <v>27</v>
      </c>
      <c r="C53" s="180" t="str">
        <f>IF(ISNA(VLOOKUP(B53,Master!AQ$59:BC$106,3,FALSE)),"",VLOOKUP(B53,Master!AQ$59:BC$106,3,FALSE))</f>
        <v/>
      </c>
      <c r="D53" s="181" t="str">
        <f>IF(ISNA(VLOOKUP(B53,Master!AQ$59:BC$106,7,FALSE)),"",VLOOKUP(B53,Master!AQ$59:BC$106,7,FALSE))</f>
        <v/>
      </c>
      <c r="E53" s="182" t="str">
        <f>IF(ISNA(VLOOKUP(B53,Master!AQ$59:BC$106,8,FALSE)),"",VLOOKUP(B53,Master!AQ$59:BC$106,8,FALSE))</f>
        <v/>
      </c>
      <c r="F53" s="183" t="str">
        <f>IF(ISNA(VLOOKUP(B53,Master!AQ$59:BC$106,4,FALSE)),"",VLOOKUP(B53,Master!AQ$59:BC$106,4,FALSE))</f>
        <v/>
      </c>
      <c r="G53" s="184" t="str">
        <f>IF(ISNA(VLOOKUP(B53,Master!AQ$59:BC$106,5,FALSE)),"",VLOOKUP(B53,Master!AQ$59:BC$106,5,FALSE))</f>
        <v/>
      </c>
      <c r="H53" s="185" t="str">
        <f>IF(ISNA(VLOOKUP(B53,Master!AQ$59:BC$106,6,FALSE)),"",VLOOKUP(B53,Master!AQ$59:BC$106,6,FALSE))</f>
        <v/>
      </c>
      <c r="I53" s="179" t="str">
        <f t="shared" si="82"/>
        <v/>
      </c>
      <c r="J53" s="181" t="str">
        <f t="shared" ca="1" si="83"/>
        <v/>
      </c>
      <c r="K53" s="179" t="str">
        <f t="shared" si="84"/>
        <v/>
      </c>
      <c r="L53" s="179" t="str">
        <f t="shared" si="85"/>
        <v/>
      </c>
      <c r="M53" s="179" t="str">
        <f t="shared" si="86"/>
        <v/>
      </c>
      <c r="N53" s="268" t="str">
        <f>IF(ISNA(VLOOKUP(B53,Master!AQ$59:BC$106,12,FALSE)),"",VLOOKUP(B53,Master!AQ$59:BC$106,12,FALSE))</f>
        <v/>
      </c>
      <c r="O53" s="262"/>
      <c r="P53" s="262"/>
      <c r="Q53" s="262"/>
      <c r="R53" s="262">
        <f t="shared" si="87"/>
        <v>0</v>
      </c>
      <c r="S53" s="102">
        <f t="shared" si="103"/>
        <v>1</v>
      </c>
      <c r="T53" s="1" t="str">
        <f>IF(ISNA(VLOOKUP(B53,Master!AQ$59:BC$106,10,FALSE)),"",VLOOKUP(B53,Master!AQ$59:BC$106,10,FALSE))</f>
        <v/>
      </c>
      <c r="U53" s="127"/>
      <c r="V53" s="127"/>
      <c r="W53" s="128" t="str">
        <f>IF(ISNA(VLOOKUP(B53,Master!AQ$59:BC$106,11,FALSE)),"",VLOOKUP(B53,Master!AQ$59:BC$106,11,FALSE))</f>
        <v/>
      </c>
      <c r="X53" s="128" t="str">
        <f>IF(ISNA(VLOOKUP(B53,Master!AQ$59:BC$106,9,FALSE)),"",VLOOKUP(B53,Master!AQ$59:BC$106,9,FALSE))</f>
        <v/>
      </c>
      <c r="Y53" s="129">
        <f t="shared" si="55"/>
        <v>0</v>
      </c>
      <c r="Z53" s="129">
        <f t="shared" si="56"/>
        <v>0</v>
      </c>
      <c r="AA53" s="129">
        <f t="shared" si="57"/>
        <v>0</v>
      </c>
      <c r="AB53" s="129">
        <f t="shared" si="58"/>
        <v>0</v>
      </c>
      <c r="AC53" s="129">
        <f t="shared" si="59"/>
        <v>0</v>
      </c>
      <c r="AD53" s="129">
        <f t="shared" si="60"/>
        <v>0</v>
      </c>
      <c r="AE53" s="130" t="str">
        <f t="shared" si="88"/>
        <v/>
      </c>
      <c r="AF53" s="130" t="str">
        <f t="shared" si="89"/>
        <v/>
      </c>
      <c r="AG53" s="130" t="str">
        <f t="shared" si="90"/>
        <v/>
      </c>
      <c r="AH53" s="130" t="str">
        <f t="shared" si="91"/>
        <v/>
      </c>
      <c r="AI53" s="130" t="str">
        <f t="shared" si="92"/>
        <v/>
      </c>
      <c r="AJ53" s="128" t="str">
        <f t="shared" si="93"/>
        <v/>
      </c>
      <c r="AK53" s="128">
        <v>0</v>
      </c>
      <c r="AL53" s="129">
        <v>0</v>
      </c>
      <c r="AM53" s="128" t="str">
        <f t="shared" si="94"/>
        <v/>
      </c>
      <c r="AN53" s="129">
        <f t="shared" si="61"/>
        <v>0</v>
      </c>
      <c r="AO53" s="128">
        <f t="shared" si="48"/>
        <v>0</v>
      </c>
      <c r="AP53" s="128">
        <f t="shared" si="62"/>
        <v>0</v>
      </c>
      <c r="AQ53" s="128">
        <f t="shared" si="63"/>
        <v>0</v>
      </c>
      <c r="AR53" s="128">
        <f t="shared" si="64"/>
        <v>0</v>
      </c>
      <c r="AS53" s="130">
        <f t="shared" si="65"/>
        <v>0</v>
      </c>
      <c r="AT53" s="130">
        <f t="shared" si="66"/>
        <v>0</v>
      </c>
      <c r="AU53" s="128"/>
      <c r="AV53" s="128"/>
      <c r="AW53" s="130">
        <f t="shared" si="95"/>
        <v>0</v>
      </c>
      <c r="AX53" s="130">
        <f t="shared" si="67"/>
        <v>0</v>
      </c>
      <c r="AY53" s="130">
        <f t="shared" si="68"/>
        <v>0</v>
      </c>
      <c r="AZ53" s="130">
        <f t="shared" si="69"/>
        <v>0</v>
      </c>
      <c r="BA53" s="130">
        <f t="shared" si="70"/>
        <v>0</v>
      </c>
      <c r="BB53" s="128">
        <f t="shared" si="96"/>
        <v>0</v>
      </c>
      <c r="BC53" s="128">
        <f t="shared" si="71"/>
        <v>0</v>
      </c>
      <c r="BD53" s="129">
        <v>0</v>
      </c>
      <c r="BE53" s="128">
        <f t="shared" si="97"/>
        <v>0</v>
      </c>
      <c r="BF53" s="129">
        <f t="shared" si="72"/>
        <v>0</v>
      </c>
      <c r="BG53" s="128">
        <f t="shared" si="49"/>
        <v>0</v>
      </c>
      <c r="BH53" s="128">
        <f t="shared" si="73"/>
        <v>0</v>
      </c>
      <c r="BI53" s="128">
        <f t="shared" si="74"/>
        <v>0</v>
      </c>
      <c r="BJ53" s="128">
        <f t="shared" si="75"/>
        <v>0</v>
      </c>
      <c r="BK53" s="130">
        <f t="shared" si="98"/>
        <v>0</v>
      </c>
      <c r="BL53" s="130">
        <f t="shared" si="99"/>
        <v>0</v>
      </c>
      <c r="BM53" s="128"/>
      <c r="BN53" s="128"/>
      <c r="BO53" s="130">
        <f t="shared" si="100"/>
        <v>0</v>
      </c>
      <c r="BP53" s="124">
        <f t="shared" si="76"/>
        <v>0</v>
      </c>
      <c r="BQ53" s="124">
        <f t="shared" si="77"/>
        <v>1</v>
      </c>
      <c r="BR53" s="124">
        <f t="shared" si="78"/>
        <v>0</v>
      </c>
      <c r="BS53" s="124">
        <f t="shared" si="79"/>
        <v>0</v>
      </c>
      <c r="BT53" s="124">
        <f t="shared" si="50"/>
        <v>0</v>
      </c>
      <c r="BU53" s="124">
        <f t="shared" si="101"/>
        <v>1</v>
      </c>
      <c r="BV53" s="110">
        <f t="shared" si="80"/>
        <v>0</v>
      </c>
      <c r="BW53" s="131">
        <f t="shared" si="102"/>
        <v>1</v>
      </c>
      <c r="BX53" s="110">
        <f t="shared" si="52"/>
        <v>0</v>
      </c>
      <c r="BY53" s="110">
        <f t="shared" si="53"/>
        <v>0</v>
      </c>
      <c r="BZ53" s="99" t="str">
        <f t="shared" si="81"/>
        <v/>
      </c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Z53" s="99"/>
    </row>
    <row r="54" spans="1:104" s="126" customFormat="1" ht="18.75">
      <c r="A54" s="179">
        <v>2202</v>
      </c>
      <c r="B54" s="179">
        <v>28</v>
      </c>
      <c r="C54" s="180" t="str">
        <f>IF(ISNA(VLOOKUP(B54,Master!AQ$59:BC$106,3,FALSE)),"",VLOOKUP(B54,Master!AQ$59:BC$106,3,FALSE))</f>
        <v/>
      </c>
      <c r="D54" s="181" t="str">
        <f>IF(ISNA(VLOOKUP(B54,Master!AQ$59:BC$106,7,FALSE)),"",VLOOKUP(B54,Master!AQ$59:BC$106,7,FALSE))</f>
        <v/>
      </c>
      <c r="E54" s="182" t="str">
        <f>IF(ISNA(VLOOKUP(B54,Master!AQ$59:BC$106,8,FALSE)),"",VLOOKUP(B54,Master!AQ$59:BC$106,8,FALSE))</f>
        <v/>
      </c>
      <c r="F54" s="183" t="str">
        <f>IF(ISNA(VLOOKUP(B54,Master!AQ$59:BC$106,4,FALSE)),"",VLOOKUP(B54,Master!AQ$59:BC$106,4,FALSE))</f>
        <v/>
      </c>
      <c r="G54" s="184" t="str">
        <f>IF(ISNA(VLOOKUP(B54,Master!AQ$59:BC$106,5,FALSE)),"",VLOOKUP(B54,Master!AQ$59:BC$106,5,FALSE))</f>
        <v/>
      </c>
      <c r="H54" s="185" t="str">
        <f>IF(ISNA(VLOOKUP(B54,Master!AQ$59:BC$106,6,FALSE)),"",VLOOKUP(B54,Master!AQ$59:BC$106,6,FALSE))</f>
        <v/>
      </c>
      <c r="I54" s="179" t="str">
        <f t="shared" si="82"/>
        <v/>
      </c>
      <c r="J54" s="181" t="str">
        <f t="shared" ca="1" si="83"/>
        <v/>
      </c>
      <c r="K54" s="179" t="str">
        <f t="shared" si="84"/>
        <v/>
      </c>
      <c r="L54" s="179" t="str">
        <f t="shared" si="85"/>
        <v/>
      </c>
      <c r="M54" s="179" t="str">
        <f t="shared" si="86"/>
        <v/>
      </c>
      <c r="N54" s="268" t="str">
        <f>IF(ISNA(VLOOKUP(B54,Master!AQ$59:BC$106,12,FALSE)),"",VLOOKUP(B54,Master!AQ$59:BC$106,12,FALSE))</f>
        <v/>
      </c>
      <c r="O54" s="262"/>
      <c r="P54" s="262"/>
      <c r="Q54" s="262"/>
      <c r="R54" s="262">
        <f t="shared" si="87"/>
        <v>0</v>
      </c>
      <c r="S54" s="102">
        <f t="shared" si="103"/>
        <v>1</v>
      </c>
      <c r="T54" s="1" t="str">
        <f>IF(ISNA(VLOOKUP(B54,Master!AQ$59:BC$106,10,FALSE)),"",VLOOKUP(B54,Master!AQ$59:BC$106,10,FALSE))</f>
        <v/>
      </c>
      <c r="U54" s="127"/>
      <c r="V54" s="127"/>
      <c r="W54" s="128" t="str">
        <f>IF(ISNA(VLOOKUP(B54,Master!AQ$59:BC$106,11,FALSE)),"",VLOOKUP(B54,Master!AQ$59:BC$106,11,FALSE))</f>
        <v/>
      </c>
      <c r="X54" s="128" t="str">
        <f>IF(ISNA(VLOOKUP(B54,Master!AQ$59:BC$106,9,FALSE)),"",VLOOKUP(B54,Master!AQ$59:BC$106,9,FALSE))</f>
        <v/>
      </c>
      <c r="Y54" s="129">
        <f t="shared" si="55"/>
        <v>0</v>
      </c>
      <c r="Z54" s="129">
        <f t="shared" si="56"/>
        <v>0</v>
      </c>
      <c r="AA54" s="129">
        <f t="shared" si="57"/>
        <v>0</v>
      </c>
      <c r="AB54" s="129">
        <f t="shared" si="58"/>
        <v>0</v>
      </c>
      <c r="AC54" s="129">
        <f t="shared" si="59"/>
        <v>0</v>
      </c>
      <c r="AD54" s="129">
        <f t="shared" si="60"/>
        <v>0</v>
      </c>
      <c r="AE54" s="130" t="str">
        <f t="shared" si="88"/>
        <v/>
      </c>
      <c r="AF54" s="130" t="str">
        <f t="shared" si="89"/>
        <v/>
      </c>
      <c r="AG54" s="130" t="str">
        <f t="shared" si="90"/>
        <v/>
      </c>
      <c r="AH54" s="130" t="str">
        <f t="shared" si="91"/>
        <v/>
      </c>
      <c r="AI54" s="130" t="str">
        <f t="shared" si="92"/>
        <v/>
      </c>
      <c r="AJ54" s="128" t="str">
        <f t="shared" si="93"/>
        <v/>
      </c>
      <c r="AK54" s="128">
        <v>0</v>
      </c>
      <c r="AL54" s="129">
        <v>0</v>
      </c>
      <c r="AM54" s="128" t="str">
        <f t="shared" si="94"/>
        <v/>
      </c>
      <c r="AN54" s="129">
        <f t="shared" si="61"/>
        <v>0</v>
      </c>
      <c r="AO54" s="128">
        <f t="shared" si="48"/>
        <v>0</v>
      </c>
      <c r="AP54" s="128">
        <f t="shared" si="62"/>
        <v>0</v>
      </c>
      <c r="AQ54" s="128">
        <f t="shared" si="63"/>
        <v>0</v>
      </c>
      <c r="AR54" s="128">
        <f t="shared" si="64"/>
        <v>0</v>
      </c>
      <c r="AS54" s="130">
        <f t="shared" si="65"/>
        <v>0</v>
      </c>
      <c r="AT54" s="130">
        <f t="shared" si="66"/>
        <v>0</v>
      </c>
      <c r="AU54" s="128"/>
      <c r="AV54" s="128"/>
      <c r="AW54" s="130">
        <f t="shared" si="95"/>
        <v>0</v>
      </c>
      <c r="AX54" s="130">
        <f t="shared" si="67"/>
        <v>0</v>
      </c>
      <c r="AY54" s="130">
        <f t="shared" si="68"/>
        <v>0</v>
      </c>
      <c r="AZ54" s="130">
        <f t="shared" si="69"/>
        <v>0</v>
      </c>
      <c r="BA54" s="130">
        <f t="shared" si="70"/>
        <v>0</v>
      </c>
      <c r="BB54" s="128">
        <f t="shared" si="96"/>
        <v>0</v>
      </c>
      <c r="BC54" s="128">
        <f t="shared" si="71"/>
        <v>0</v>
      </c>
      <c r="BD54" s="129">
        <v>0</v>
      </c>
      <c r="BE54" s="128">
        <f t="shared" si="97"/>
        <v>0</v>
      </c>
      <c r="BF54" s="129">
        <f t="shared" si="72"/>
        <v>0</v>
      </c>
      <c r="BG54" s="128">
        <f t="shared" si="49"/>
        <v>0</v>
      </c>
      <c r="BH54" s="128">
        <f t="shared" si="73"/>
        <v>0</v>
      </c>
      <c r="BI54" s="128">
        <f t="shared" si="74"/>
        <v>0</v>
      </c>
      <c r="BJ54" s="128">
        <f t="shared" si="75"/>
        <v>0</v>
      </c>
      <c r="BK54" s="130">
        <f t="shared" si="98"/>
        <v>0</v>
      </c>
      <c r="BL54" s="130">
        <f t="shared" si="99"/>
        <v>0</v>
      </c>
      <c r="BM54" s="128"/>
      <c r="BN54" s="128"/>
      <c r="BO54" s="130">
        <f t="shared" si="100"/>
        <v>0</v>
      </c>
      <c r="BP54" s="124">
        <f t="shared" si="76"/>
        <v>0</v>
      </c>
      <c r="BQ54" s="124">
        <f t="shared" si="77"/>
        <v>1</v>
      </c>
      <c r="BR54" s="124">
        <f t="shared" si="78"/>
        <v>0</v>
      </c>
      <c r="BS54" s="124">
        <f t="shared" si="79"/>
        <v>0</v>
      </c>
      <c r="BT54" s="124">
        <f t="shared" si="50"/>
        <v>0</v>
      </c>
      <c r="BU54" s="124">
        <f t="shared" si="101"/>
        <v>1</v>
      </c>
      <c r="BV54" s="110">
        <f t="shared" si="80"/>
        <v>0</v>
      </c>
      <c r="BW54" s="131">
        <f t="shared" si="102"/>
        <v>1</v>
      </c>
      <c r="BX54" s="110">
        <f t="shared" si="52"/>
        <v>0</v>
      </c>
      <c r="BY54" s="110">
        <f t="shared" si="53"/>
        <v>0</v>
      </c>
      <c r="BZ54" s="99" t="str">
        <f t="shared" si="81"/>
        <v/>
      </c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Z54" s="99"/>
    </row>
    <row r="55" spans="1:104" s="126" customFormat="1" ht="18.75">
      <c r="A55" s="179">
        <v>2202</v>
      </c>
      <c r="B55" s="179">
        <v>29</v>
      </c>
      <c r="C55" s="180" t="str">
        <f>IF(ISNA(VLOOKUP(B55,Master!AQ$59:BC$106,3,FALSE)),"",VLOOKUP(B55,Master!AQ$59:BC$106,3,FALSE))</f>
        <v/>
      </c>
      <c r="D55" s="181" t="str">
        <f>IF(ISNA(VLOOKUP(B55,Master!AQ$59:BC$106,7,FALSE)),"",VLOOKUP(B55,Master!AQ$59:BC$106,7,FALSE))</f>
        <v/>
      </c>
      <c r="E55" s="182" t="str">
        <f>IF(ISNA(VLOOKUP(B55,Master!AQ$59:BC$106,8,FALSE)),"",VLOOKUP(B55,Master!AQ$59:BC$106,8,FALSE))</f>
        <v/>
      </c>
      <c r="F55" s="183" t="str">
        <f>IF(ISNA(VLOOKUP(B55,Master!AQ$59:BC$106,4,FALSE)),"",VLOOKUP(B55,Master!AQ$59:BC$106,4,FALSE))</f>
        <v/>
      </c>
      <c r="G55" s="184" t="str">
        <f>IF(ISNA(VLOOKUP(B55,Master!AQ$59:BC$106,5,FALSE)),"",VLOOKUP(B55,Master!AQ$59:BC$106,5,FALSE))</f>
        <v/>
      </c>
      <c r="H55" s="185" t="str">
        <f>IF(ISNA(VLOOKUP(B55,Master!AQ$59:BC$106,6,FALSE)),"",VLOOKUP(B55,Master!AQ$59:BC$106,6,FALSE))</f>
        <v/>
      </c>
      <c r="I55" s="179" t="str">
        <f t="shared" si="82"/>
        <v/>
      </c>
      <c r="J55" s="181" t="str">
        <f t="shared" ca="1" si="83"/>
        <v/>
      </c>
      <c r="K55" s="179" t="str">
        <f t="shared" si="84"/>
        <v/>
      </c>
      <c r="L55" s="179" t="str">
        <f t="shared" si="85"/>
        <v/>
      </c>
      <c r="M55" s="179" t="str">
        <f t="shared" si="86"/>
        <v/>
      </c>
      <c r="N55" s="268" t="str">
        <f>IF(ISNA(VLOOKUP(B55,Master!AQ$59:BC$106,12,FALSE)),"",VLOOKUP(B55,Master!AQ$59:BC$106,12,FALSE))</f>
        <v/>
      </c>
      <c r="O55" s="262"/>
      <c r="P55" s="262"/>
      <c r="Q55" s="262"/>
      <c r="R55" s="262">
        <f t="shared" si="87"/>
        <v>0</v>
      </c>
      <c r="S55" s="102">
        <f t="shared" si="103"/>
        <v>1</v>
      </c>
      <c r="T55" s="1" t="str">
        <f>IF(ISNA(VLOOKUP(B55,Master!AQ$59:BC$106,10,FALSE)),"",VLOOKUP(B55,Master!AQ$59:BC$106,10,FALSE))</f>
        <v/>
      </c>
      <c r="U55" s="127"/>
      <c r="V55" s="127"/>
      <c r="W55" s="128" t="str">
        <f>IF(ISNA(VLOOKUP(B55,Master!AQ$59:BC$106,11,FALSE)),"",VLOOKUP(B55,Master!AQ$59:BC$106,11,FALSE))</f>
        <v/>
      </c>
      <c r="X55" s="128" t="str">
        <f>IF(ISNA(VLOOKUP(B55,Master!AQ$59:BC$106,9,FALSE)),"",VLOOKUP(B55,Master!AQ$59:BC$106,9,FALSE))</f>
        <v/>
      </c>
      <c r="Y55" s="129">
        <f t="shared" si="55"/>
        <v>0</v>
      </c>
      <c r="Z55" s="129">
        <f t="shared" si="56"/>
        <v>0</v>
      </c>
      <c r="AA55" s="129">
        <f t="shared" si="57"/>
        <v>0</v>
      </c>
      <c r="AB55" s="129">
        <f t="shared" si="58"/>
        <v>0</v>
      </c>
      <c r="AC55" s="129">
        <f t="shared" si="59"/>
        <v>0</v>
      </c>
      <c r="AD55" s="129">
        <f t="shared" si="60"/>
        <v>0</v>
      </c>
      <c r="AE55" s="130" t="str">
        <f t="shared" si="88"/>
        <v/>
      </c>
      <c r="AF55" s="130" t="str">
        <f t="shared" si="89"/>
        <v/>
      </c>
      <c r="AG55" s="130" t="str">
        <f t="shared" si="90"/>
        <v/>
      </c>
      <c r="AH55" s="130" t="str">
        <f t="shared" si="91"/>
        <v/>
      </c>
      <c r="AI55" s="130" t="str">
        <f t="shared" si="92"/>
        <v/>
      </c>
      <c r="AJ55" s="128" t="str">
        <f t="shared" si="93"/>
        <v/>
      </c>
      <c r="AK55" s="128">
        <v>0</v>
      </c>
      <c r="AL55" s="129">
        <v>0</v>
      </c>
      <c r="AM55" s="128" t="str">
        <f t="shared" si="94"/>
        <v/>
      </c>
      <c r="AN55" s="129">
        <f t="shared" si="61"/>
        <v>0</v>
      </c>
      <c r="AO55" s="128">
        <f t="shared" si="48"/>
        <v>0</v>
      </c>
      <c r="AP55" s="128">
        <f t="shared" si="62"/>
        <v>0</v>
      </c>
      <c r="AQ55" s="128">
        <f t="shared" si="63"/>
        <v>0</v>
      </c>
      <c r="AR55" s="128">
        <f t="shared" si="64"/>
        <v>0</v>
      </c>
      <c r="AS55" s="130">
        <f t="shared" si="65"/>
        <v>0</v>
      </c>
      <c r="AT55" s="130">
        <f t="shared" si="66"/>
        <v>0</v>
      </c>
      <c r="AU55" s="128"/>
      <c r="AV55" s="128"/>
      <c r="AW55" s="130">
        <f t="shared" si="95"/>
        <v>0</v>
      </c>
      <c r="AX55" s="130">
        <f t="shared" si="67"/>
        <v>0</v>
      </c>
      <c r="AY55" s="130">
        <f t="shared" si="68"/>
        <v>0</v>
      </c>
      <c r="AZ55" s="130">
        <f t="shared" si="69"/>
        <v>0</v>
      </c>
      <c r="BA55" s="130">
        <f t="shared" si="70"/>
        <v>0</v>
      </c>
      <c r="BB55" s="128">
        <f t="shared" si="96"/>
        <v>0</v>
      </c>
      <c r="BC55" s="128">
        <f t="shared" si="71"/>
        <v>0</v>
      </c>
      <c r="BD55" s="129">
        <v>0</v>
      </c>
      <c r="BE55" s="128">
        <f t="shared" si="97"/>
        <v>0</v>
      </c>
      <c r="BF55" s="129">
        <f t="shared" si="72"/>
        <v>0</v>
      </c>
      <c r="BG55" s="128">
        <f t="shared" si="49"/>
        <v>0</v>
      </c>
      <c r="BH55" s="128">
        <f t="shared" si="73"/>
        <v>0</v>
      </c>
      <c r="BI55" s="128">
        <f t="shared" si="74"/>
        <v>0</v>
      </c>
      <c r="BJ55" s="128">
        <f t="shared" si="75"/>
        <v>0</v>
      </c>
      <c r="BK55" s="130">
        <f t="shared" si="98"/>
        <v>0</v>
      </c>
      <c r="BL55" s="130">
        <f t="shared" si="99"/>
        <v>0</v>
      </c>
      <c r="BM55" s="128"/>
      <c r="BN55" s="128"/>
      <c r="BO55" s="130">
        <f t="shared" si="100"/>
        <v>0</v>
      </c>
      <c r="BP55" s="124">
        <f t="shared" si="76"/>
        <v>0</v>
      </c>
      <c r="BQ55" s="124">
        <f t="shared" si="77"/>
        <v>1</v>
      </c>
      <c r="BR55" s="124">
        <f t="shared" si="78"/>
        <v>0</v>
      </c>
      <c r="BS55" s="124">
        <f t="shared" si="79"/>
        <v>0</v>
      </c>
      <c r="BT55" s="124">
        <f t="shared" si="50"/>
        <v>0</v>
      </c>
      <c r="BU55" s="124">
        <f t="shared" si="101"/>
        <v>1</v>
      </c>
      <c r="BV55" s="110">
        <f t="shared" si="80"/>
        <v>0</v>
      </c>
      <c r="BW55" s="131">
        <f t="shared" si="102"/>
        <v>1</v>
      </c>
      <c r="BX55" s="110">
        <f t="shared" si="52"/>
        <v>0</v>
      </c>
      <c r="BY55" s="110">
        <f t="shared" si="53"/>
        <v>0</v>
      </c>
      <c r="BZ55" s="99" t="str">
        <f t="shared" si="81"/>
        <v/>
      </c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Z55" s="99"/>
    </row>
    <row r="56" spans="1:104" s="126" customFormat="1" ht="18.75">
      <c r="A56" s="179">
        <v>2202</v>
      </c>
      <c r="B56" s="179">
        <v>30</v>
      </c>
      <c r="C56" s="180" t="str">
        <f>IF(ISNA(VLOOKUP(B56,Master!AQ$59:BC$106,3,FALSE)),"",VLOOKUP(B56,Master!AQ$59:BC$106,3,FALSE))</f>
        <v/>
      </c>
      <c r="D56" s="181" t="str">
        <f>IF(ISNA(VLOOKUP(B56,Master!AQ$59:BC$106,7,FALSE)),"",VLOOKUP(B56,Master!AQ$59:BC$106,7,FALSE))</f>
        <v/>
      </c>
      <c r="E56" s="182" t="str">
        <f>IF(ISNA(VLOOKUP(B56,Master!AQ$59:BC$106,8,FALSE)),"",VLOOKUP(B56,Master!AQ$59:BC$106,8,FALSE))</f>
        <v/>
      </c>
      <c r="F56" s="183" t="str">
        <f>IF(ISNA(VLOOKUP(B56,Master!AQ$59:BC$106,4,FALSE)),"",VLOOKUP(B56,Master!AQ$59:BC$106,4,FALSE))</f>
        <v/>
      </c>
      <c r="G56" s="184" t="str">
        <f>IF(ISNA(VLOOKUP(B56,Master!AQ$59:BC$106,5,FALSE)),"",VLOOKUP(B56,Master!AQ$59:BC$106,5,FALSE))</f>
        <v/>
      </c>
      <c r="H56" s="185" t="str">
        <f>IF(ISNA(VLOOKUP(B56,Master!AQ$59:BC$106,6,FALSE)),"",VLOOKUP(B56,Master!AQ$59:BC$106,6,FALSE))</f>
        <v/>
      </c>
      <c r="I56" s="179" t="str">
        <f t="shared" si="82"/>
        <v/>
      </c>
      <c r="J56" s="181" t="str">
        <f t="shared" ca="1" si="83"/>
        <v/>
      </c>
      <c r="K56" s="179" t="str">
        <f t="shared" si="84"/>
        <v/>
      </c>
      <c r="L56" s="179" t="str">
        <f t="shared" si="85"/>
        <v/>
      </c>
      <c r="M56" s="179" t="str">
        <f t="shared" si="86"/>
        <v/>
      </c>
      <c r="N56" s="268" t="str">
        <f>IF(ISNA(VLOOKUP(B56,Master!AQ$59:BC$106,12,FALSE)),"",VLOOKUP(B56,Master!AQ$59:BC$106,12,FALSE))</f>
        <v/>
      </c>
      <c r="O56" s="262"/>
      <c r="P56" s="262"/>
      <c r="Q56" s="262"/>
      <c r="R56" s="262">
        <f t="shared" si="87"/>
        <v>0</v>
      </c>
      <c r="S56" s="102">
        <f t="shared" si="103"/>
        <v>1</v>
      </c>
      <c r="T56" s="1" t="str">
        <f>IF(ISNA(VLOOKUP(B56,Master!AQ$59:BC$106,10,FALSE)),"",VLOOKUP(B56,Master!AQ$59:BC$106,10,FALSE))</f>
        <v/>
      </c>
      <c r="U56" s="127"/>
      <c r="V56" s="127"/>
      <c r="W56" s="128" t="str">
        <f>IF(ISNA(VLOOKUP(B56,Master!AQ$59:BC$106,11,FALSE)),"",VLOOKUP(B56,Master!AQ$59:BC$106,11,FALSE))</f>
        <v/>
      </c>
      <c r="X56" s="128" t="str">
        <f>IF(ISNA(VLOOKUP(B56,Master!AQ$59:BC$106,9,FALSE)),"",VLOOKUP(B56,Master!AQ$59:BC$106,9,FALSE))</f>
        <v/>
      </c>
      <c r="Y56" s="129">
        <f t="shared" si="55"/>
        <v>0</v>
      </c>
      <c r="Z56" s="129">
        <f t="shared" si="56"/>
        <v>0</v>
      </c>
      <c r="AA56" s="129">
        <f t="shared" si="57"/>
        <v>0</v>
      </c>
      <c r="AB56" s="129">
        <f t="shared" si="58"/>
        <v>0</v>
      </c>
      <c r="AC56" s="129">
        <f t="shared" si="59"/>
        <v>0</v>
      </c>
      <c r="AD56" s="129">
        <f t="shared" si="60"/>
        <v>0</v>
      </c>
      <c r="AE56" s="130" t="str">
        <f t="shared" si="88"/>
        <v/>
      </c>
      <c r="AF56" s="130" t="str">
        <f t="shared" si="89"/>
        <v/>
      </c>
      <c r="AG56" s="130" t="str">
        <f t="shared" si="90"/>
        <v/>
      </c>
      <c r="AH56" s="130" t="str">
        <f t="shared" si="91"/>
        <v/>
      </c>
      <c r="AI56" s="130" t="str">
        <f t="shared" si="92"/>
        <v/>
      </c>
      <c r="AJ56" s="128" t="str">
        <f t="shared" si="93"/>
        <v/>
      </c>
      <c r="AK56" s="128">
        <v>0</v>
      </c>
      <c r="AL56" s="129">
        <v>0</v>
      </c>
      <c r="AM56" s="128" t="str">
        <f t="shared" si="94"/>
        <v/>
      </c>
      <c r="AN56" s="129">
        <f t="shared" si="61"/>
        <v>0</v>
      </c>
      <c r="AO56" s="128">
        <f t="shared" si="48"/>
        <v>0</v>
      </c>
      <c r="AP56" s="128">
        <f t="shared" si="62"/>
        <v>0</v>
      </c>
      <c r="AQ56" s="128">
        <f t="shared" si="63"/>
        <v>0</v>
      </c>
      <c r="AR56" s="128">
        <f t="shared" si="64"/>
        <v>0</v>
      </c>
      <c r="AS56" s="130">
        <f t="shared" si="65"/>
        <v>0</v>
      </c>
      <c r="AT56" s="130">
        <f t="shared" si="66"/>
        <v>0</v>
      </c>
      <c r="AU56" s="128"/>
      <c r="AV56" s="128"/>
      <c r="AW56" s="130">
        <f t="shared" si="95"/>
        <v>0</v>
      </c>
      <c r="AX56" s="130">
        <f t="shared" si="67"/>
        <v>0</v>
      </c>
      <c r="AY56" s="130">
        <f t="shared" si="68"/>
        <v>0</v>
      </c>
      <c r="AZ56" s="130">
        <f t="shared" si="69"/>
        <v>0</v>
      </c>
      <c r="BA56" s="130">
        <f t="shared" si="70"/>
        <v>0</v>
      </c>
      <c r="BB56" s="128">
        <f t="shared" si="96"/>
        <v>0</v>
      </c>
      <c r="BC56" s="128">
        <f t="shared" si="71"/>
        <v>0</v>
      </c>
      <c r="BD56" s="129">
        <v>0</v>
      </c>
      <c r="BE56" s="128">
        <f t="shared" si="97"/>
        <v>0</v>
      </c>
      <c r="BF56" s="129">
        <f t="shared" si="72"/>
        <v>0</v>
      </c>
      <c r="BG56" s="128">
        <f t="shared" si="49"/>
        <v>0</v>
      </c>
      <c r="BH56" s="128">
        <f t="shared" si="73"/>
        <v>0</v>
      </c>
      <c r="BI56" s="128">
        <f t="shared" si="74"/>
        <v>0</v>
      </c>
      <c r="BJ56" s="128">
        <f t="shared" si="75"/>
        <v>0</v>
      </c>
      <c r="BK56" s="130">
        <f t="shared" si="98"/>
        <v>0</v>
      </c>
      <c r="BL56" s="130">
        <f t="shared" si="99"/>
        <v>0</v>
      </c>
      <c r="BM56" s="128"/>
      <c r="BN56" s="128"/>
      <c r="BO56" s="130">
        <f t="shared" si="100"/>
        <v>0</v>
      </c>
      <c r="BP56" s="124">
        <f t="shared" si="76"/>
        <v>0</v>
      </c>
      <c r="BQ56" s="124">
        <f t="shared" si="77"/>
        <v>1</v>
      </c>
      <c r="BR56" s="124">
        <f t="shared" si="78"/>
        <v>0</v>
      </c>
      <c r="BS56" s="124">
        <f t="shared" si="79"/>
        <v>0</v>
      </c>
      <c r="BT56" s="124">
        <f t="shared" si="50"/>
        <v>0</v>
      </c>
      <c r="BU56" s="124">
        <f t="shared" si="101"/>
        <v>1</v>
      </c>
      <c r="BV56" s="110">
        <f t="shared" si="80"/>
        <v>0</v>
      </c>
      <c r="BW56" s="131">
        <f t="shared" si="102"/>
        <v>1</v>
      </c>
      <c r="BX56" s="110">
        <f t="shared" si="52"/>
        <v>0</v>
      </c>
      <c r="BY56" s="110">
        <f t="shared" si="53"/>
        <v>0</v>
      </c>
      <c r="BZ56" s="99" t="str">
        <f t="shared" si="81"/>
        <v/>
      </c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Z56" s="99"/>
    </row>
    <row r="57" spans="1:104" s="126" customFormat="1" ht="18.75">
      <c r="A57" s="179">
        <v>2202</v>
      </c>
      <c r="B57" s="179">
        <v>31</v>
      </c>
      <c r="C57" s="180" t="str">
        <f>IF(ISNA(VLOOKUP(B57,Master!AQ$59:BC$106,3,FALSE)),"",VLOOKUP(B57,Master!AQ$59:BC$106,3,FALSE))</f>
        <v/>
      </c>
      <c r="D57" s="181" t="str">
        <f>IF(ISNA(VLOOKUP(B57,Master!AQ$59:BC$106,7,FALSE)),"",VLOOKUP(B57,Master!AQ$59:BC$106,7,FALSE))</f>
        <v/>
      </c>
      <c r="E57" s="182" t="str">
        <f>IF(ISNA(VLOOKUP(B57,Master!AQ$59:BC$106,8,FALSE)),"",VLOOKUP(B57,Master!AQ$59:BC$106,8,FALSE))</f>
        <v/>
      </c>
      <c r="F57" s="183" t="str">
        <f>IF(ISNA(VLOOKUP(B57,Master!AQ$59:BC$106,4,FALSE)),"",VLOOKUP(B57,Master!AQ$59:BC$106,4,FALSE))</f>
        <v/>
      </c>
      <c r="G57" s="184" t="str">
        <f>IF(ISNA(VLOOKUP(B57,Master!AQ$59:BC$106,5,FALSE)),"",VLOOKUP(B57,Master!AQ$59:BC$106,5,FALSE))</f>
        <v/>
      </c>
      <c r="H57" s="185" t="str">
        <f>IF(ISNA(VLOOKUP(B57,Master!AQ$59:BC$106,6,FALSE)),"",VLOOKUP(B57,Master!AQ$59:BC$106,6,FALSE))</f>
        <v/>
      </c>
      <c r="I57" s="179" t="str">
        <f t="shared" si="82"/>
        <v/>
      </c>
      <c r="J57" s="181" t="str">
        <f t="shared" ca="1" si="83"/>
        <v/>
      </c>
      <c r="K57" s="179" t="str">
        <f t="shared" si="84"/>
        <v/>
      </c>
      <c r="L57" s="179" t="str">
        <f t="shared" si="85"/>
        <v/>
      </c>
      <c r="M57" s="179" t="str">
        <f t="shared" si="86"/>
        <v/>
      </c>
      <c r="N57" s="268" t="str">
        <f>IF(ISNA(VLOOKUP(B57,Master!AQ$59:BC$106,12,FALSE)),"",VLOOKUP(B57,Master!AQ$59:BC$106,12,FALSE))</f>
        <v/>
      </c>
      <c r="O57" s="262"/>
      <c r="P57" s="262"/>
      <c r="Q57" s="262"/>
      <c r="R57" s="262">
        <f t="shared" si="87"/>
        <v>0</v>
      </c>
      <c r="S57" s="102">
        <f t="shared" si="103"/>
        <v>1</v>
      </c>
      <c r="T57" s="1" t="str">
        <f>IF(ISNA(VLOOKUP(B57,Master!AQ$59:BC$106,10,FALSE)),"",VLOOKUP(B57,Master!AQ$59:BC$106,10,FALSE))</f>
        <v/>
      </c>
      <c r="U57" s="127"/>
      <c r="V57" s="127"/>
      <c r="W57" s="128" t="str">
        <f>IF(ISNA(VLOOKUP(B57,Master!AQ$59:BC$106,11,FALSE)),"",VLOOKUP(B57,Master!AQ$59:BC$106,11,FALSE))</f>
        <v/>
      </c>
      <c r="X57" s="128" t="str">
        <f>IF(ISNA(VLOOKUP(B57,Master!AQ$59:BC$106,9,FALSE)),"",VLOOKUP(B57,Master!AQ$59:BC$106,9,FALSE))</f>
        <v/>
      </c>
      <c r="Y57" s="129">
        <f t="shared" si="55"/>
        <v>0</v>
      </c>
      <c r="Z57" s="129">
        <f t="shared" si="56"/>
        <v>0</v>
      </c>
      <c r="AA57" s="129">
        <f t="shared" si="57"/>
        <v>0</v>
      </c>
      <c r="AB57" s="129">
        <f t="shared" si="58"/>
        <v>0</v>
      </c>
      <c r="AC57" s="129">
        <f t="shared" si="59"/>
        <v>0</v>
      </c>
      <c r="AD57" s="129">
        <f t="shared" si="60"/>
        <v>0</v>
      </c>
      <c r="AE57" s="130" t="str">
        <f t="shared" si="88"/>
        <v/>
      </c>
      <c r="AF57" s="130" t="str">
        <f t="shared" si="89"/>
        <v/>
      </c>
      <c r="AG57" s="130" t="str">
        <f t="shared" si="90"/>
        <v/>
      </c>
      <c r="AH57" s="130" t="str">
        <f t="shared" si="91"/>
        <v/>
      </c>
      <c r="AI57" s="130" t="str">
        <f t="shared" si="92"/>
        <v/>
      </c>
      <c r="AJ57" s="128" t="str">
        <f t="shared" si="93"/>
        <v/>
      </c>
      <c r="AK57" s="128">
        <v>0</v>
      </c>
      <c r="AL57" s="129">
        <v>0</v>
      </c>
      <c r="AM57" s="128" t="str">
        <f t="shared" si="94"/>
        <v/>
      </c>
      <c r="AN57" s="129">
        <f t="shared" si="61"/>
        <v>0</v>
      </c>
      <c r="AO57" s="128">
        <f t="shared" si="48"/>
        <v>0</v>
      </c>
      <c r="AP57" s="128">
        <f t="shared" si="62"/>
        <v>0</v>
      </c>
      <c r="AQ57" s="128">
        <f t="shared" si="63"/>
        <v>0</v>
      </c>
      <c r="AR57" s="128">
        <f t="shared" si="64"/>
        <v>0</v>
      </c>
      <c r="AS57" s="130">
        <f t="shared" si="65"/>
        <v>0</v>
      </c>
      <c r="AT57" s="130">
        <f t="shared" si="66"/>
        <v>0</v>
      </c>
      <c r="AU57" s="128"/>
      <c r="AV57" s="128"/>
      <c r="AW57" s="130">
        <f t="shared" si="95"/>
        <v>0</v>
      </c>
      <c r="AX57" s="130">
        <f t="shared" si="67"/>
        <v>0</v>
      </c>
      <c r="AY57" s="130">
        <f t="shared" si="68"/>
        <v>0</v>
      </c>
      <c r="AZ57" s="130">
        <f t="shared" si="69"/>
        <v>0</v>
      </c>
      <c r="BA57" s="130">
        <f t="shared" si="70"/>
        <v>0</v>
      </c>
      <c r="BB57" s="128">
        <f t="shared" si="96"/>
        <v>0</v>
      </c>
      <c r="BC57" s="128">
        <f t="shared" si="71"/>
        <v>0</v>
      </c>
      <c r="BD57" s="129">
        <v>0</v>
      </c>
      <c r="BE57" s="128">
        <f t="shared" si="97"/>
        <v>0</v>
      </c>
      <c r="BF57" s="129">
        <f t="shared" si="72"/>
        <v>0</v>
      </c>
      <c r="BG57" s="128">
        <f t="shared" si="49"/>
        <v>0</v>
      </c>
      <c r="BH57" s="128">
        <f t="shared" si="73"/>
        <v>0</v>
      </c>
      <c r="BI57" s="128">
        <f t="shared" si="74"/>
        <v>0</v>
      </c>
      <c r="BJ57" s="128">
        <f t="shared" si="75"/>
        <v>0</v>
      </c>
      <c r="BK57" s="130">
        <f t="shared" si="98"/>
        <v>0</v>
      </c>
      <c r="BL57" s="130">
        <f t="shared" si="99"/>
        <v>0</v>
      </c>
      <c r="BM57" s="128"/>
      <c r="BN57" s="128"/>
      <c r="BO57" s="130">
        <f t="shared" si="100"/>
        <v>0</v>
      </c>
      <c r="BP57" s="124">
        <f t="shared" si="76"/>
        <v>0</v>
      </c>
      <c r="BQ57" s="124">
        <f t="shared" si="77"/>
        <v>1</v>
      </c>
      <c r="BR57" s="124">
        <f t="shared" si="78"/>
        <v>0</v>
      </c>
      <c r="BS57" s="124">
        <f t="shared" si="79"/>
        <v>0</v>
      </c>
      <c r="BT57" s="124">
        <f t="shared" si="50"/>
        <v>0</v>
      </c>
      <c r="BU57" s="124">
        <f t="shared" si="101"/>
        <v>1</v>
      </c>
      <c r="BV57" s="110">
        <f t="shared" si="80"/>
        <v>0</v>
      </c>
      <c r="BW57" s="131">
        <f t="shared" si="102"/>
        <v>1</v>
      </c>
      <c r="BX57" s="110">
        <f t="shared" si="52"/>
        <v>0</v>
      </c>
      <c r="BY57" s="110">
        <f t="shared" si="53"/>
        <v>0</v>
      </c>
      <c r="BZ57" s="99" t="str">
        <f t="shared" si="81"/>
        <v/>
      </c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Z57" s="99"/>
    </row>
    <row r="58" spans="1:104" s="126" customFormat="1" ht="18.75">
      <c r="A58" s="179">
        <v>2202</v>
      </c>
      <c r="B58" s="179">
        <v>32</v>
      </c>
      <c r="C58" s="180" t="str">
        <f>IF(ISNA(VLOOKUP(B58,Master!AQ$59:BC$106,3,FALSE)),"",VLOOKUP(B58,Master!AQ$59:BC$106,3,FALSE))</f>
        <v/>
      </c>
      <c r="D58" s="181" t="str">
        <f>IF(ISNA(VLOOKUP(B58,Master!AQ$59:BC$106,7,FALSE)),"",VLOOKUP(B58,Master!AQ$59:BC$106,7,FALSE))</f>
        <v/>
      </c>
      <c r="E58" s="182" t="str">
        <f>IF(ISNA(VLOOKUP(B58,Master!AQ$59:BC$106,8,FALSE)),"",VLOOKUP(B58,Master!AQ$59:BC$106,8,FALSE))</f>
        <v/>
      </c>
      <c r="F58" s="183" t="str">
        <f>IF(ISNA(VLOOKUP(B58,Master!AQ$59:BC$106,4,FALSE)),"",VLOOKUP(B58,Master!AQ$59:BC$106,4,FALSE))</f>
        <v/>
      </c>
      <c r="G58" s="184" t="str">
        <f>IF(ISNA(VLOOKUP(B58,Master!AQ$59:BC$106,5,FALSE)),"",VLOOKUP(B58,Master!AQ$59:BC$106,5,FALSE))</f>
        <v/>
      </c>
      <c r="H58" s="185" t="str">
        <f>IF(ISNA(VLOOKUP(B58,Master!AQ$59:BC$106,6,FALSE)),"",VLOOKUP(B58,Master!AQ$59:BC$106,6,FALSE))</f>
        <v/>
      </c>
      <c r="I58" s="179" t="str">
        <f t="shared" si="82"/>
        <v/>
      </c>
      <c r="J58" s="181" t="str">
        <f t="shared" ca="1" si="83"/>
        <v/>
      </c>
      <c r="K58" s="179" t="str">
        <f t="shared" si="84"/>
        <v/>
      </c>
      <c r="L58" s="179" t="str">
        <f t="shared" si="85"/>
        <v/>
      </c>
      <c r="M58" s="179" t="str">
        <f t="shared" si="86"/>
        <v/>
      </c>
      <c r="N58" s="268" t="str">
        <f>IF(ISNA(VLOOKUP(B58,Master!AQ$59:BC$106,12,FALSE)),"",VLOOKUP(B58,Master!AQ$59:BC$106,12,FALSE))</f>
        <v/>
      </c>
      <c r="O58" s="262"/>
      <c r="P58" s="262"/>
      <c r="Q58" s="262"/>
      <c r="R58" s="262">
        <f t="shared" si="87"/>
        <v>0</v>
      </c>
      <c r="S58" s="102">
        <f t="shared" si="103"/>
        <v>1</v>
      </c>
      <c r="T58" s="1" t="str">
        <f>IF(ISNA(VLOOKUP(B58,Master!AQ$59:BC$106,10,FALSE)),"",VLOOKUP(B58,Master!AQ$59:BC$106,10,FALSE))</f>
        <v/>
      </c>
      <c r="U58" s="127"/>
      <c r="V58" s="127"/>
      <c r="W58" s="128" t="str">
        <f>IF(ISNA(VLOOKUP(B58,Master!AQ$59:BC$106,11,FALSE)),"",VLOOKUP(B58,Master!AQ$59:BC$106,11,FALSE))</f>
        <v/>
      </c>
      <c r="X58" s="128" t="str">
        <f>IF(ISNA(VLOOKUP(B58,Master!AQ$59:BC$106,9,FALSE)),"",VLOOKUP(B58,Master!AQ$59:BC$106,9,FALSE))</f>
        <v/>
      </c>
      <c r="Y58" s="129">
        <f t="shared" si="55"/>
        <v>0</v>
      </c>
      <c r="Z58" s="129">
        <f t="shared" si="56"/>
        <v>0</v>
      </c>
      <c r="AA58" s="129">
        <f t="shared" si="57"/>
        <v>0</v>
      </c>
      <c r="AB58" s="129">
        <f t="shared" si="58"/>
        <v>0</v>
      </c>
      <c r="AC58" s="129">
        <f t="shared" si="59"/>
        <v>0</v>
      </c>
      <c r="AD58" s="129">
        <f t="shared" si="60"/>
        <v>0</v>
      </c>
      <c r="AE58" s="130" t="str">
        <f t="shared" si="88"/>
        <v/>
      </c>
      <c r="AF58" s="130" t="str">
        <f t="shared" si="89"/>
        <v/>
      </c>
      <c r="AG58" s="130" t="str">
        <f t="shared" si="90"/>
        <v/>
      </c>
      <c r="AH58" s="130" t="str">
        <f t="shared" si="91"/>
        <v/>
      </c>
      <c r="AI58" s="130" t="str">
        <f t="shared" si="92"/>
        <v/>
      </c>
      <c r="AJ58" s="128" t="str">
        <f t="shared" si="93"/>
        <v/>
      </c>
      <c r="AK58" s="128">
        <v>0</v>
      </c>
      <c r="AL58" s="129">
        <v>0</v>
      </c>
      <c r="AM58" s="128" t="str">
        <f t="shared" si="94"/>
        <v/>
      </c>
      <c r="AN58" s="129">
        <f t="shared" si="61"/>
        <v>0</v>
      </c>
      <c r="AO58" s="128">
        <f t="shared" si="48"/>
        <v>0</v>
      </c>
      <c r="AP58" s="128">
        <f t="shared" si="62"/>
        <v>0</v>
      </c>
      <c r="AQ58" s="128">
        <f t="shared" si="63"/>
        <v>0</v>
      </c>
      <c r="AR58" s="128">
        <f t="shared" si="64"/>
        <v>0</v>
      </c>
      <c r="AS58" s="130">
        <f t="shared" si="65"/>
        <v>0</v>
      </c>
      <c r="AT58" s="130">
        <f t="shared" si="66"/>
        <v>0</v>
      </c>
      <c r="AU58" s="128"/>
      <c r="AV58" s="128"/>
      <c r="AW58" s="130">
        <f t="shared" si="95"/>
        <v>0</v>
      </c>
      <c r="AX58" s="130">
        <f t="shared" si="67"/>
        <v>0</v>
      </c>
      <c r="AY58" s="130">
        <f t="shared" si="68"/>
        <v>0</v>
      </c>
      <c r="AZ58" s="130">
        <f t="shared" si="69"/>
        <v>0</v>
      </c>
      <c r="BA58" s="130">
        <f t="shared" si="70"/>
        <v>0</v>
      </c>
      <c r="BB58" s="128">
        <f t="shared" si="96"/>
        <v>0</v>
      </c>
      <c r="BC58" s="128">
        <f t="shared" si="71"/>
        <v>0</v>
      </c>
      <c r="BD58" s="129">
        <v>0</v>
      </c>
      <c r="BE58" s="128">
        <f t="shared" si="97"/>
        <v>0</v>
      </c>
      <c r="BF58" s="129">
        <f t="shared" si="72"/>
        <v>0</v>
      </c>
      <c r="BG58" s="128">
        <f t="shared" si="49"/>
        <v>0</v>
      </c>
      <c r="BH58" s="128">
        <f t="shared" si="73"/>
        <v>0</v>
      </c>
      <c r="BI58" s="128">
        <f t="shared" si="74"/>
        <v>0</v>
      </c>
      <c r="BJ58" s="128">
        <f t="shared" si="75"/>
        <v>0</v>
      </c>
      <c r="BK58" s="130">
        <f t="shared" si="98"/>
        <v>0</v>
      </c>
      <c r="BL58" s="130">
        <f t="shared" si="99"/>
        <v>0</v>
      </c>
      <c r="BM58" s="128"/>
      <c r="BN58" s="128"/>
      <c r="BO58" s="130">
        <f t="shared" si="100"/>
        <v>0</v>
      </c>
      <c r="BP58" s="124">
        <f t="shared" si="76"/>
        <v>0</v>
      </c>
      <c r="BQ58" s="124">
        <f t="shared" si="77"/>
        <v>1</v>
      </c>
      <c r="BR58" s="124">
        <f t="shared" si="78"/>
        <v>0</v>
      </c>
      <c r="BS58" s="124">
        <f t="shared" si="79"/>
        <v>0</v>
      </c>
      <c r="BT58" s="124">
        <f t="shared" si="50"/>
        <v>0</v>
      </c>
      <c r="BU58" s="124">
        <f t="shared" si="101"/>
        <v>1</v>
      </c>
      <c r="BV58" s="110">
        <f t="shared" si="80"/>
        <v>0</v>
      </c>
      <c r="BW58" s="131">
        <f t="shared" si="102"/>
        <v>1</v>
      </c>
      <c r="BX58" s="110">
        <f t="shared" si="52"/>
        <v>0</v>
      </c>
      <c r="BY58" s="110">
        <f t="shared" si="53"/>
        <v>0</v>
      </c>
      <c r="BZ58" s="99" t="str">
        <f t="shared" si="81"/>
        <v/>
      </c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Z58" s="99"/>
    </row>
    <row r="59" spans="1:104" s="126" customFormat="1" ht="18.75">
      <c r="A59" s="179">
        <v>2202</v>
      </c>
      <c r="B59" s="179">
        <v>33</v>
      </c>
      <c r="C59" s="180" t="str">
        <f>IF(ISNA(VLOOKUP(B59,Master!AQ$59:BC$106,3,FALSE)),"",VLOOKUP(B59,Master!AQ$59:BC$106,3,FALSE))</f>
        <v/>
      </c>
      <c r="D59" s="181" t="str">
        <f>IF(ISNA(VLOOKUP(B59,Master!AQ$59:BC$106,7,FALSE)),"",VLOOKUP(B59,Master!AQ$59:BC$106,7,FALSE))</f>
        <v/>
      </c>
      <c r="E59" s="182" t="str">
        <f>IF(ISNA(VLOOKUP(B59,Master!AQ$59:BC$106,8,FALSE)),"",VLOOKUP(B59,Master!AQ$59:BC$106,8,FALSE))</f>
        <v/>
      </c>
      <c r="F59" s="183" t="str">
        <f>IF(ISNA(VLOOKUP(B59,Master!AQ$59:BC$106,4,FALSE)),"",VLOOKUP(B59,Master!AQ$59:BC$106,4,FALSE))</f>
        <v/>
      </c>
      <c r="G59" s="184" t="str">
        <f>IF(ISNA(VLOOKUP(B59,Master!AQ$59:BC$106,5,FALSE)),"",VLOOKUP(B59,Master!AQ$59:BC$106,5,FALSE))</f>
        <v/>
      </c>
      <c r="H59" s="185" t="str">
        <f>IF(ISNA(VLOOKUP(B59,Master!AQ$59:BC$106,6,FALSE)),"",VLOOKUP(B59,Master!AQ$59:BC$106,6,FALSE))</f>
        <v/>
      </c>
      <c r="I59" s="179" t="str">
        <f t="shared" si="82"/>
        <v/>
      </c>
      <c r="J59" s="181" t="str">
        <f t="shared" ca="1" si="83"/>
        <v/>
      </c>
      <c r="K59" s="179" t="str">
        <f t="shared" si="84"/>
        <v/>
      </c>
      <c r="L59" s="179" t="str">
        <f t="shared" si="85"/>
        <v/>
      </c>
      <c r="M59" s="179" t="str">
        <f t="shared" si="86"/>
        <v/>
      </c>
      <c r="N59" s="268" t="str">
        <f>IF(ISNA(VLOOKUP(B59,Master!AQ$59:BC$106,12,FALSE)),"",VLOOKUP(B59,Master!AQ$59:BC$106,12,FALSE))</f>
        <v/>
      </c>
      <c r="O59" s="262"/>
      <c r="P59" s="262"/>
      <c r="Q59" s="262"/>
      <c r="R59" s="262">
        <f t="shared" si="87"/>
        <v>0</v>
      </c>
      <c r="S59" s="102">
        <f t="shared" si="103"/>
        <v>1</v>
      </c>
      <c r="T59" s="1" t="str">
        <f>IF(ISNA(VLOOKUP(B59,Master!AQ$59:BC$106,10,FALSE)),"",VLOOKUP(B59,Master!AQ$59:BC$106,10,FALSE))</f>
        <v/>
      </c>
      <c r="U59" s="127"/>
      <c r="V59" s="127"/>
      <c r="W59" s="128" t="str">
        <f>IF(ISNA(VLOOKUP(B59,Master!AQ$59:BC$106,11,FALSE)),"",VLOOKUP(B59,Master!AQ$59:BC$106,11,FALSE))</f>
        <v/>
      </c>
      <c r="X59" s="128" t="str">
        <f>IF(ISNA(VLOOKUP(B59,Master!AQ$59:BC$106,9,FALSE)),"",VLOOKUP(B59,Master!AQ$59:BC$106,9,FALSE))</f>
        <v/>
      </c>
      <c r="Y59" s="129">
        <f t="shared" si="55"/>
        <v>0</v>
      </c>
      <c r="Z59" s="129">
        <f t="shared" si="56"/>
        <v>0</v>
      </c>
      <c r="AA59" s="129">
        <f t="shared" si="57"/>
        <v>0</v>
      </c>
      <c r="AB59" s="129">
        <f t="shared" si="58"/>
        <v>0</v>
      </c>
      <c r="AC59" s="129">
        <f t="shared" si="59"/>
        <v>0</v>
      </c>
      <c r="AD59" s="129">
        <f t="shared" si="60"/>
        <v>0</v>
      </c>
      <c r="AE59" s="130" t="str">
        <f t="shared" si="88"/>
        <v/>
      </c>
      <c r="AF59" s="130" t="str">
        <f t="shared" si="89"/>
        <v/>
      </c>
      <c r="AG59" s="130" t="str">
        <f t="shared" si="90"/>
        <v/>
      </c>
      <c r="AH59" s="130" t="str">
        <f t="shared" si="91"/>
        <v/>
      </c>
      <c r="AI59" s="130" t="str">
        <f t="shared" si="92"/>
        <v/>
      </c>
      <c r="AJ59" s="128" t="str">
        <f t="shared" si="93"/>
        <v/>
      </c>
      <c r="AK59" s="128">
        <v>0</v>
      </c>
      <c r="AL59" s="129">
        <v>0</v>
      </c>
      <c r="AM59" s="128" t="str">
        <f t="shared" si="94"/>
        <v/>
      </c>
      <c r="AN59" s="129">
        <f t="shared" si="61"/>
        <v>0</v>
      </c>
      <c r="AO59" s="128">
        <f t="shared" si="48"/>
        <v>0</v>
      </c>
      <c r="AP59" s="128">
        <f t="shared" si="62"/>
        <v>0</v>
      </c>
      <c r="AQ59" s="128">
        <f t="shared" si="63"/>
        <v>0</v>
      </c>
      <c r="AR59" s="128">
        <f t="shared" si="64"/>
        <v>0</v>
      </c>
      <c r="AS59" s="130">
        <f t="shared" si="65"/>
        <v>0</v>
      </c>
      <c r="AT59" s="130">
        <f t="shared" si="66"/>
        <v>0</v>
      </c>
      <c r="AU59" s="128"/>
      <c r="AV59" s="128"/>
      <c r="AW59" s="130">
        <f t="shared" si="95"/>
        <v>0</v>
      </c>
      <c r="AX59" s="130">
        <f t="shared" si="67"/>
        <v>0</v>
      </c>
      <c r="AY59" s="130">
        <f t="shared" si="68"/>
        <v>0</v>
      </c>
      <c r="AZ59" s="130">
        <f t="shared" si="69"/>
        <v>0</v>
      </c>
      <c r="BA59" s="130">
        <f t="shared" si="70"/>
        <v>0</v>
      </c>
      <c r="BB59" s="128">
        <f t="shared" si="96"/>
        <v>0</v>
      </c>
      <c r="BC59" s="128">
        <f t="shared" si="71"/>
        <v>0</v>
      </c>
      <c r="BD59" s="129">
        <v>0</v>
      </c>
      <c r="BE59" s="128">
        <f t="shared" si="97"/>
        <v>0</v>
      </c>
      <c r="BF59" s="129">
        <f t="shared" si="72"/>
        <v>0</v>
      </c>
      <c r="BG59" s="128">
        <f t="shared" si="49"/>
        <v>0</v>
      </c>
      <c r="BH59" s="128">
        <f t="shared" si="73"/>
        <v>0</v>
      </c>
      <c r="BI59" s="128">
        <f t="shared" si="74"/>
        <v>0</v>
      </c>
      <c r="BJ59" s="128">
        <f t="shared" si="75"/>
        <v>0</v>
      </c>
      <c r="BK59" s="130">
        <f t="shared" si="98"/>
        <v>0</v>
      </c>
      <c r="BL59" s="130">
        <f t="shared" si="99"/>
        <v>0</v>
      </c>
      <c r="BM59" s="128"/>
      <c r="BN59" s="128"/>
      <c r="BO59" s="130">
        <f t="shared" si="100"/>
        <v>0</v>
      </c>
      <c r="BP59" s="124">
        <f t="shared" si="76"/>
        <v>0</v>
      </c>
      <c r="BQ59" s="124">
        <f t="shared" si="77"/>
        <v>1</v>
      </c>
      <c r="BR59" s="124">
        <f t="shared" si="78"/>
        <v>0</v>
      </c>
      <c r="BS59" s="124">
        <f t="shared" si="79"/>
        <v>0</v>
      </c>
      <c r="BT59" s="124">
        <f t="shared" si="50"/>
        <v>0</v>
      </c>
      <c r="BU59" s="124">
        <f t="shared" si="101"/>
        <v>1</v>
      </c>
      <c r="BV59" s="110">
        <f t="shared" si="80"/>
        <v>0</v>
      </c>
      <c r="BW59" s="131">
        <f t="shared" si="102"/>
        <v>1</v>
      </c>
      <c r="BX59" s="110">
        <f t="shared" si="52"/>
        <v>0</v>
      </c>
      <c r="BY59" s="110">
        <f t="shared" si="53"/>
        <v>0</v>
      </c>
      <c r="BZ59" s="99" t="str">
        <f t="shared" si="81"/>
        <v/>
      </c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Z59" s="99"/>
    </row>
    <row r="60" spans="1:104" s="126" customFormat="1" ht="18.75">
      <c r="A60" s="179">
        <v>2202</v>
      </c>
      <c r="B60" s="179">
        <v>34</v>
      </c>
      <c r="C60" s="180" t="str">
        <f>IF(ISNA(VLOOKUP(B60,Master!AQ$59:BC$106,3,FALSE)),"",VLOOKUP(B60,Master!AQ$59:BC$106,3,FALSE))</f>
        <v/>
      </c>
      <c r="D60" s="181" t="str">
        <f>IF(ISNA(VLOOKUP(B60,Master!AQ$59:BC$106,7,FALSE)),"",VLOOKUP(B60,Master!AQ$59:BC$106,7,FALSE))</f>
        <v/>
      </c>
      <c r="E60" s="182" t="str">
        <f>IF(ISNA(VLOOKUP(B60,Master!AQ$59:BC$106,8,FALSE)),"",VLOOKUP(B60,Master!AQ$59:BC$106,8,FALSE))</f>
        <v/>
      </c>
      <c r="F60" s="183" t="str">
        <f>IF(ISNA(VLOOKUP(B60,Master!AQ$59:BC$106,4,FALSE)),"",VLOOKUP(B60,Master!AQ$59:BC$106,4,FALSE))</f>
        <v/>
      </c>
      <c r="G60" s="184" t="str">
        <f>IF(ISNA(VLOOKUP(B60,Master!AQ$59:BC$106,5,FALSE)),"",VLOOKUP(B60,Master!AQ$59:BC$106,5,FALSE))</f>
        <v/>
      </c>
      <c r="H60" s="185" t="str">
        <f>IF(ISNA(VLOOKUP(B60,Master!AQ$59:BC$106,6,FALSE)),"",VLOOKUP(B60,Master!AQ$59:BC$106,6,FALSE))</f>
        <v/>
      </c>
      <c r="I60" s="179" t="str">
        <f t="shared" si="82"/>
        <v/>
      </c>
      <c r="J60" s="181" t="str">
        <f t="shared" ca="1" si="83"/>
        <v/>
      </c>
      <c r="K60" s="179" t="str">
        <f t="shared" si="84"/>
        <v/>
      </c>
      <c r="L60" s="179" t="str">
        <f t="shared" si="85"/>
        <v/>
      </c>
      <c r="M60" s="179" t="str">
        <f t="shared" si="86"/>
        <v/>
      </c>
      <c r="N60" s="268" t="str">
        <f>IF(ISNA(VLOOKUP(B60,Master!AQ$59:BC$106,12,FALSE)),"",VLOOKUP(B60,Master!AQ$59:BC$106,12,FALSE))</f>
        <v/>
      </c>
      <c r="O60" s="262"/>
      <c r="P60" s="262"/>
      <c r="Q60" s="262"/>
      <c r="R60" s="262">
        <f t="shared" si="87"/>
        <v>0</v>
      </c>
      <c r="S60" s="102">
        <f t="shared" si="103"/>
        <v>1</v>
      </c>
      <c r="T60" s="1" t="str">
        <f>IF(ISNA(VLOOKUP(B60,Master!AQ$59:BC$106,10,FALSE)),"",VLOOKUP(B60,Master!AQ$59:BC$106,10,FALSE))</f>
        <v/>
      </c>
      <c r="U60" s="127"/>
      <c r="V60" s="127"/>
      <c r="W60" s="128" t="str">
        <f>IF(ISNA(VLOOKUP(B60,Master!AQ$59:BC$106,11,FALSE)),"",VLOOKUP(B60,Master!AQ$59:BC$106,11,FALSE))</f>
        <v/>
      </c>
      <c r="X60" s="128" t="str">
        <f>IF(ISNA(VLOOKUP(B60,Master!AQ$59:BC$106,9,FALSE)),"",VLOOKUP(B60,Master!AQ$59:BC$106,9,FALSE))</f>
        <v/>
      </c>
      <c r="Y60" s="129">
        <f t="shared" si="55"/>
        <v>0</v>
      </c>
      <c r="Z60" s="129">
        <f t="shared" si="56"/>
        <v>0</v>
      </c>
      <c r="AA60" s="129">
        <f t="shared" si="57"/>
        <v>0</v>
      </c>
      <c r="AB60" s="129">
        <f t="shared" si="58"/>
        <v>0</v>
      </c>
      <c r="AC60" s="129">
        <f t="shared" si="59"/>
        <v>0</v>
      </c>
      <c r="AD60" s="129">
        <f t="shared" si="60"/>
        <v>0</v>
      </c>
      <c r="AE60" s="130" t="str">
        <f t="shared" si="88"/>
        <v/>
      </c>
      <c r="AF60" s="130" t="str">
        <f t="shared" si="89"/>
        <v/>
      </c>
      <c r="AG60" s="130" t="str">
        <f t="shared" si="90"/>
        <v/>
      </c>
      <c r="AH60" s="130" t="str">
        <f t="shared" si="91"/>
        <v/>
      </c>
      <c r="AI60" s="130" t="str">
        <f t="shared" si="92"/>
        <v/>
      </c>
      <c r="AJ60" s="128" t="str">
        <f t="shared" si="93"/>
        <v/>
      </c>
      <c r="AK60" s="128">
        <v>0</v>
      </c>
      <c r="AL60" s="129">
        <v>0</v>
      </c>
      <c r="AM60" s="128" t="str">
        <f t="shared" si="94"/>
        <v/>
      </c>
      <c r="AN60" s="129">
        <f t="shared" si="61"/>
        <v>0</v>
      </c>
      <c r="AO60" s="128">
        <f t="shared" si="48"/>
        <v>0</v>
      </c>
      <c r="AP60" s="128">
        <f t="shared" si="62"/>
        <v>0</v>
      </c>
      <c r="AQ60" s="128">
        <f t="shared" si="63"/>
        <v>0</v>
      </c>
      <c r="AR60" s="128">
        <f t="shared" si="64"/>
        <v>0</v>
      </c>
      <c r="AS60" s="130">
        <f t="shared" si="65"/>
        <v>0</v>
      </c>
      <c r="AT60" s="130">
        <f t="shared" si="66"/>
        <v>0</v>
      </c>
      <c r="AU60" s="128"/>
      <c r="AV60" s="128"/>
      <c r="AW60" s="130">
        <f t="shared" si="95"/>
        <v>0</v>
      </c>
      <c r="AX60" s="130">
        <f t="shared" si="67"/>
        <v>0</v>
      </c>
      <c r="AY60" s="130">
        <f t="shared" si="68"/>
        <v>0</v>
      </c>
      <c r="AZ60" s="130">
        <f t="shared" si="69"/>
        <v>0</v>
      </c>
      <c r="BA60" s="130">
        <f t="shared" si="70"/>
        <v>0</v>
      </c>
      <c r="BB60" s="128">
        <f t="shared" si="96"/>
        <v>0</v>
      </c>
      <c r="BC60" s="128">
        <f t="shared" si="71"/>
        <v>0</v>
      </c>
      <c r="BD60" s="129">
        <v>0</v>
      </c>
      <c r="BE60" s="128">
        <f t="shared" si="97"/>
        <v>0</v>
      </c>
      <c r="BF60" s="129">
        <f t="shared" si="72"/>
        <v>0</v>
      </c>
      <c r="BG60" s="128">
        <f t="shared" si="49"/>
        <v>0</v>
      </c>
      <c r="BH60" s="128">
        <f t="shared" si="73"/>
        <v>0</v>
      </c>
      <c r="BI60" s="128">
        <f t="shared" si="74"/>
        <v>0</v>
      </c>
      <c r="BJ60" s="128">
        <f t="shared" si="75"/>
        <v>0</v>
      </c>
      <c r="BK60" s="130">
        <f t="shared" si="98"/>
        <v>0</v>
      </c>
      <c r="BL60" s="130">
        <f t="shared" si="99"/>
        <v>0</v>
      </c>
      <c r="BM60" s="128"/>
      <c r="BN60" s="128"/>
      <c r="BO60" s="130">
        <f t="shared" si="100"/>
        <v>0</v>
      </c>
      <c r="BP60" s="124">
        <f t="shared" si="76"/>
        <v>0</v>
      </c>
      <c r="BQ60" s="124">
        <f t="shared" si="77"/>
        <v>1</v>
      </c>
      <c r="BR60" s="124">
        <f t="shared" si="78"/>
        <v>0</v>
      </c>
      <c r="BS60" s="124">
        <f t="shared" si="79"/>
        <v>0</v>
      </c>
      <c r="BT60" s="124">
        <f t="shared" si="50"/>
        <v>0</v>
      </c>
      <c r="BU60" s="124">
        <f t="shared" si="101"/>
        <v>1</v>
      </c>
      <c r="BV60" s="110">
        <f t="shared" si="80"/>
        <v>0</v>
      </c>
      <c r="BW60" s="131">
        <f t="shared" si="102"/>
        <v>1</v>
      </c>
      <c r="BX60" s="110">
        <f t="shared" si="52"/>
        <v>0</v>
      </c>
      <c r="BY60" s="110">
        <f t="shared" si="53"/>
        <v>0</v>
      </c>
      <c r="BZ60" s="99" t="str">
        <f t="shared" si="81"/>
        <v/>
      </c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Z60" s="99"/>
    </row>
    <row r="61" spans="1:104" s="126" customFormat="1" ht="18.75">
      <c r="A61" s="179">
        <v>2202</v>
      </c>
      <c r="B61" s="179">
        <v>35</v>
      </c>
      <c r="C61" s="180" t="str">
        <f>IF(ISNA(VLOOKUP(B61,Master!AQ$59:BC$106,3,FALSE)),"",VLOOKUP(B61,Master!AQ$59:BC$106,3,FALSE))</f>
        <v/>
      </c>
      <c r="D61" s="181" t="str">
        <f>IF(ISNA(VLOOKUP(B61,Master!AQ$59:BC$106,7,FALSE)),"",VLOOKUP(B61,Master!AQ$59:BC$106,7,FALSE))</f>
        <v/>
      </c>
      <c r="E61" s="182" t="str">
        <f>IF(ISNA(VLOOKUP(B61,Master!AQ$59:BC$106,8,FALSE)),"",VLOOKUP(B61,Master!AQ$59:BC$106,8,FALSE))</f>
        <v/>
      </c>
      <c r="F61" s="183" t="str">
        <f>IF(ISNA(VLOOKUP(B61,Master!AQ$59:BC$106,4,FALSE)),"",VLOOKUP(B61,Master!AQ$59:BC$106,4,FALSE))</f>
        <v/>
      </c>
      <c r="G61" s="184" t="str">
        <f>IF(ISNA(VLOOKUP(B61,Master!AQ$59:BC$106,5,FALSE)),"",VLOOKUP(B61,Master!AQ$59:BC$106,5,FALSE))</f>
        <v/>
      </c>
      <c r="H61" s="185" t="str">
        <f>IF(ISNA(VLOOKUP(B61,Master!AQ$59:BC$106,6,FALSE)),"",VLOOKUP(B61,Master!AQ$59:BC$106,6,FALSE))</f>
        <v/>
      </c>
      <c r="I61" s="179" t="str">
        <f t="shared" si="82"/>
        <v/>
      </c>
      <c r="J61" s="181" t="str">
        <f t="shared" ca="1" si="83"/>
        <v/>
      </c>
      <c r="K61" s="179" t="str">
        <f t="shared" si="84"/>
        <v/>
      </c>
      <c r="L61" s="179" t="str">
        <f t="shared" si="85"/>
        <v/>
      </c>
      <c r="M61" s="179" t="str">
        <f t="shared" si="86"/>
        <v/>
      </c>
      <c r="N61" s="268" t="str">
        <f>IF(ISNA(VLOOKUP(B61,Master!AQ$59:BC$106,12,FALSE)),"",VLOOKUP(B61,Master!AQ$59:BC$106,12,FALSE))</f>
        <v/>
      </c>
      <c r="O61" s="262"/>
      <c r="P61" s="262"/>
      <c r="Q61" s="262"/>
      <c r="R61" s="262">
        <f t="shared" si="87"/>
        <v>0</v>
      </c>
      <c r="S61" s="102">
        <f t="shared" si="103"/>
        <v>1</v>
      </c>
      <c r="T61" s="1" t="str">
        <f>IF(ISNA(VLOOKUP(B61,Master!AQ$59:BC$106,10,FALSE)),"",VLOOKUP(B61,Master!AQ$59:BC$106,10,FALSE))</f>
        <v/>
      </c>
      <c r="U61" s="127"/>
      <c r="V61" s="127"/>
      <c r="W61" s="128" t="str">
        <f>IF(ISNA(VLOOKUP(B61,Master!AQ$59:BC$106,11,FALSE)),"",VLOOKUP(B61,Master!AQ$59:BC$106,11,FALSE))</f>
        <v/>
      </c>
      <c r="X61" s="128" t="str">
        <f>IF(ISNA(VLOOKUP(B61,Master!AQ$59:BC$106,9,FALSE)),"",VLOOKUP(B61,Master!AQ$59:BC$106,9,FALSE))</f>
        <v/>
      </c>
      <c r="Y61" s="129">
        <f t="shared" si="55"/>
        <v>0</v>
      </c>
      <c r="Z61" s="129">
        <f t="shared" si="56"/>
        <v>0</v>
      </c>
      <c r="AA61" s="129">
        <f t="shared" si="57"/>
        <v>0</v>
      </c>
      <c r="AB61" s="129">
        <f t="shared" si="58"/>
        <v>0</v>
      </c>
      <c r="AC61" s="129">
        <f t="shared" si="59"/>
        <v>0</v>
      </c>
      <c r="AD61" s="129">
        <f t="shared" si="60"/>
        <v>0</v>
      </c>
      <c r="AE61" s="130" t="str">
        <f t="shared" si="88"/>
        <v/>
      </c>
      <c r="AF61" s="130" t="str">
        <f t="shared" si="89"/>
        <v/>
      </c>
      <c r="AG61" s="130" t="str">
        <f t="shared" si="90"/>
        <v/>
      </c>
      <c r="AH61" s="130" t="str">
        <f t="shared" si="91"/>
        <v/>
      </c>
      <c r="AI61" s="130" t="str">
        <f t="shared" si="92"/>
        <v/>
      </c>
      <c r="AJ61" s="128" t="str">
        <f t="shared" si="93"/>
        <v/>
      </c>
      <c r="AK61" s="128">
        <v>0</v>
      </c>
      <c r="AL61" s="129">
        <v>0</v>
      </c>
      <c r="AM61" s="128" t="str">
        <f t="shared" si="94"/>
        <v/>
      </c>
      <c r="AN61" s="129">
        <f t="shared" si="61"/>
        <v>0</v>
      </c>
      <c r="AO61" s="128">
        <f t="shared" si="48"/>
        <v>0</v>
      </c>
      <c r="AP61" s="128">
        <f t="shared" si="62"/>
        <v>0</v>
      </c>
      <c r="AQ61" s="128">
        <f t="shared" si="63"/>
        <v>0</v>
      </c>
      <c r="AR61" s="128">
        <f t="shared" si="64"/>
        <v>0</v>
      </c>
      <c r="AS61" s="130">
        <f t="shared" si="65"/>
        <v>0</v>
      </c>
      <c r="AT61" s="130">
        <f t="shared" si="66"/>
        <v>0</v>
      </c>
      <c r="AU61" s="128"/>
      <c r="AV61" s="128"/>
      <c r="AW61" s="130">
        <f t="shared" si="95"/>
        <v>0</v>
      </c>
      <c r="AX61" s="130">
        <f t="shared" si="67"/>
        <v>0</v>
      </c>
      <c r="AY61" s="130">
        <f t="shared" si="68"/>
        <v>0</v>
      </c>
      <c r="AZ61" s="130">
        <f t="shared" si="69"/>
        <v>0</v>
      </c>
      <c r="BA61" s="130">
        <f t="shared" si="70"/>
        <v>0</v>
      </c>
      <c r="BB61" s="128">
        <f t="shared" si="96"/>
        <v>0</v>
      </c>
      <c r="BC61" s="128">
        <f t="shared" si="71"/>
        <v>0</v>
      </c>
      <c r="BD61" s="129">
        <v>0</v>
      </c>
      <c r="BE61" s="128">
        <f t="shared" si="97"/>
        <v>0</v>
      </c>
      <c r="BF61" s="129">
        <f t="shared" si="72"/>
        <v>0</v>
      </c>
      <c r="BG61" s="128">
        <f t="shared" si="49"/>
        <v>0</v>
      </c>
      <c r="BH61" s="128">
        <f t="shared" si="73"/>
        <v>0</v>
      </c>
      <c r="BI61" s="128">
        <f t="shared" si="74"/>
        <v>0</v>
      </c>
      <c r="BJ61" s="128">
        <f t="shared" si="75"/>
        <v>0</v>
      </c>
      <c r="BK61" s="130">
        <f t="shared" si="98"/>
        <v>0</v>
      </c>
      <c r="BL61" s="130">
        <f t="shared" si="99"/>
        <v>0</v>
      </c>
      <c r="BM61" s="128"/>
      <c r="BN61" s="128"/>
      <c r="BO61" s="130">
        <f t="shared" si="100"/>
        <v>0</v>
      </c>
      <c r="BP61" s="124">
        <f t="shared" si="76"/>
        <v>0</v>
      </c>
      <c r="BQ61" s="124">
        <f t="shared" si="77"/>
        <v>1</v>
      </c>
      <c r="BR61" s="124">
        <f t="shared" si="78"/>
        <v>0</v>
      </c>
      <c r="BS61" s="124">
        <f t="shared" si="79"/>
        <v>0</v>
      </c>
      <c r="BT61" s="124">
        <f t="shared" si="50"/>
        <v>0</v>
      </c>
      <c r="BU61" s="124">
        <f t="shared" si="101"/>
        <v>1</v>
      </c>
      <c r="BV61" s="110">
        <f t="shared" si="80"/>
        <v>0</v>
      </c>
      <c r="BW61" s="131">
        <f t="shared" si="102"/>
        <v>1</v>
      </c>
      <c r="BX61" s="110">
        <f t="shared" si="52"/>
        <v>0</v>
      </c>
      <c r="BY61" s="110">
        <f t="shared" si="53"/>
        <v>0</v>
      </c>
      <c r="BZ61" s="99" t="str">
        <f t="shared" si="81"/>
        <v/>
      </c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Z61" s="99"/>
    </row>
    <row r="62" spans="1:104" s="126" customFormat="1" ht="18.75">
      <c r="A62" s="179">
        <v>2202</v>
      </c>
      <c r="B62" s="179">
        <v>36</v>
      </c>
      <c r="C62" s="180" t="str">
        <f>IF(ISNA(VLOOKUP(B62,Master!AQ$59:BC$106,3,FALSE)),"",VLOOKUP(B62,Master!AQ$59:BC$106,3,FALSE))</f>
        <v/>
      </c>
      <c r="D62" s="181" t="str">
        <f>IF(ISNA(VLOOKUP(B62,Master!AQ$59:BC$106,7,FALSE)),"",VLOOKUP(B62,Master!AQ$59:BC$106,7,FALSE))</f>
        <v/>
      </c>
      <c r="E62" s="182" t="str">
        <f>IF(ISNA(VLOOKUP(B62,Master!AQ$59:BC$106,8,FALSE)),"",VLOOKUP(B62,Master!AQ$59:BC$106,8,FALSE))</f>
        <v/>
      </c>
      <c r="F62" s="183" t="str">
        <f>IF(ISNA(VLOOKUP(B62,Master!AQ$59:BC$106,4,FALSE)),"",VLOOKUP(B62,Master!AQ$59:BC$106,4,FALSE))</f>
        <v/>
      </c>
      <c r="G62" s="184" t="str">
        <f>IF(ISNA(VLOOKUP(B62,Master!AQ$59:BC$106,5,FALSE)),"",VLOOKUP(B62,Master!AQ$59:BC$106,5,FALSE))</f>
        <v/>
      </c>
      <c r="H62" s="185" t="str">
        <f>IF(ISNA(VLOOKUP(B62,Master!AQ$59:BC$106,6,FALSE)),"",VLOOKUP(B62,Master!AQ$59:BC$106,6,FALSE))</f>
        <v/>
      </c>
      <c r="I62" s="179" t="str">
        <f t="shared" si="82"/>
        <v/>
      </c>
      <c r="J62" s="181" t="str">
        <f t="shared" ca="1" si="83"/>
        <v/>
      </c>
      <c r="K62" s="179" t="str">
        <f t="shared" si="84"/>
        <v/>
      </c>
      <c r="L62" s="179" t="str">
        <f t="shared" si="85"/>
        <v/>
      </c>
      <c r="M62" s="179" t="str">
        <f t="shared" si="86"/>
        <v/>
      </c>
      <c r="N62" s="268" t="str">
        <f>IF(ISNA(VLOOKUP(B62,Master!AQ$59:BC$106,12,FALSE)),"",VLOOKUP(B62,Master!AQ$59:BC$106,12,FALSE))</f>
        <v/>
      </c>
      <c r="O62" s="262"/>
      <c r="P62" s="262"/>
      <c r="Q62" s="262"/>
      <c r="R62" s="262">
        <f t="shared" si="87"/>
        <v>0</v>
      </c>
      <c r="S62" s="102">
        <f t="shared" si="103"/>
        <v>1</v>
      </c>
      <c r="T62" s="1" t="str">
        <f>IF(ISNA(VLOOKUP(B62,Master!AQ$59:BC$106,10,FALSE)),"",VLOOKUP(B62,Master!AQ$59:BC$106,10,FALSE))</f>
        <v/>
      </c>
      <c r="U62" s="127"/>
      <c r="V62" s="127"/>
      <c r="W62" s="128" t="str">
        <f>IF(ISNA(VLOOKUP(B62,Master!AQ$59:BC$106,11,FALSE)),"",VLOOKUP(B62,Master!AQ$59:BC$106,11,FALSE))</f>
        <v/>
      </c>
      <c r="X62" s="128" t="str">
        <f>IF(ISNA(VLOOKUP(B62,Master!AQ$59:BC$106,9,FALSE)),"",VLOOKUP(B62,Master!AQ$59:BC$106,9,FALSE))</f>
        <v/>
      </c>
      <c r="Y62" s="129">
        <f t="shared" si="55"/>
        <v>0</v>
      </c>
      <c r="Z62" s="129">
        <f t="shared" si="56"/>
        <v>0</v>
      </c>
      <c r="AA62" s="129">
        <f t="shared" si="57"/>
        <v>0</v>
      </c>
      <c r="AB62" s="129">
        <f t="shared" si="58"/>
        <v>0</v>
      </c>
      <c r="AC62" s="129">
        <f t="shared" si="59"/>
        <v>0</v>
      </c>
      <c r="AD62" s="129">
        <f t="shared" si="60"/>
        <v>0</v>
      </c>
      <c r="AE62" s="130" t="str">
        <f t="shared" si="88"/>
        <v/>
      </c>
      <c r="AF62" s="130" t="str">
        <f t="shared" si="89"/>
        <v/>
      </c>
      <c r="AG62" s="130" t="str">
        <f t="shared" si="90"/>
        <v/>
      </c>
      <c r="AH62" s="130" t="str">
        <f t="shared" si="91"/>
        <v/>
      </c>
      <c r="AI62" s="130" t="str">
        <f t="shared" si="92"/>
        <v/>
      </c>
      <c r="AJ62" s="128" t="str">
        <f t="shared" si="93"/>
        <v/>
      </c>
      <c r="AK62" s="128">
        <v>0</v>
      </c>
      <c r="AL62" s="129">
        <v>0</v>
      </c>
      <c r="AM62" s="128" t="str">
        <f t="shared" si="94"/>
        <v/>
      </c>
      <c r="AN62" s="129">
        <f t="shared" si="61"/>
        <v>0</v>
      </c>
      <c r="AO62" s="128">
        <f t="shared" si="48"/>
        <v>0</v>
      </c>
      <c r="AP62" s="128">
        <f t="shared" si="62"/>
        <v>0</v>
      </c>
      <c r="AQ62" s="128">
        <f t="shared" si="63"/>
        <v>0</v>
      </c>
      <c r="AR62" s="128">
        <f t="shared" si="64"/>
        <v>0</v>
      </c>
      <c r="AS62" s="130">
        <f t="shared" si="65"/>
        <v>0</v>
      </c>
      <c r="AT62" s="130">
        <f t="shared" si="66"/>
        <v>0</v>
      </c>
      <c r="AU62" s="128"/>
      <c r="AV62" s="128"/>
      <c r="AW62" s="130">
        <f t="shared" si="95"/>
        <v>0</v>
      </c>
      <c r="AX62" s="130">
        <f t="shared" si="67"/>
        <v>0</v>
      </c>
      <c r="AY62" s="130">
        <f t="shared" si="68"/>
        <v>0</v>
      </c>
      <c r="AZ62" s="130">
        <f t="shared" si="69"/>
        <v>0</v>
      </c>
      <c r="BA62" s="130">
        <f t="shared" si="70"/>
        <v>0</v>
      </c>
      <c r="BB62" s="128">
        <f t="shared" si="96"/>
        <v>0</v>
      </c>
      <c r="BC62" s="128">
        <f t="shared" si="71"/>
        <v>0</v>
      </c>
      <c r="BD62" s="129">
        <v>0</v>
      </c>
      <c r="BE62" s="128">
        <f t="shared" si="97"/>
        <v>0</v>
      </c>
      <c r="BF62" s="129">
        <f t="shared" si="72"/>
        <v>0</v>
      </c>
      <c r="BG62" s="128">
        <f t="shared" si="49"/>
        <v>0</v>
      </c>
      <c r="BH62" s="128">
        <f t="shared" si="73"/>
        <v>0</v>
      </c>
      <c r="BI62" s="128">
        <f t="shared" si="74"/>
        <v>0</v>
      </c>
      <c r="BJ62" s="128">
        <f t="shared" si="75"/>
        <v>0</v>
      </c>
      <c r="BK62" s="130">
        <f t="shared" si="98"/>
        <v>0</v>
      </c>
      <c r="BL62" s="130">
        <f t="shared" si="99"/>
        <v>0</v>
      </c>
      <c r="BM62" s="128"/>
      <c r="BN62" s="128"/>
      <c r="BO62" s="130">
        <f t="shared" si="100"/>
        <v>0</v>
      </c>
      <c r="BP62" s="124">
        <f t="shared" si="76"/>
        <v>0</v>
      </c>
      <c r="BQ62" s="124">
        <f t="shared" si="77"/>
        <v>1</v>
      </c>
      <c r="BR62" s="124">
        <f t="shared" si="78"/>
        <v>0</v>
      </c>
      <c r="BS62" s="124">
        <f t="shared" si="79"/>
        <v>0</v>
      </c>
      <c r="BT62" s="124">
        <f t="shared" si="50"/>
        <v>0</v>
      </c>
      <c r="BU62" s="124">
        <f t="shared" si="101"/>
        <v>1</v>
      </c>
      <c r="BV62" s="110">
        <f t="shared" si="80"/>
        <v>0</v>
      </c>
      <c r="BW62" s="131">
        <f t="shared" si="102"/>
        <v>1</v>
      </c>
      <c r="BX62" s="110">
        <f t="shared" si="52"/>
        <v>0</v>
      </c>
      <c r="BY62" s="110">
        <f t="shared" si="53"/>
        <v>0</v>
      </c>
      <c r="BZ62" s="99" t="str">
        <f t="shared" si="81"/>
        <v/>
      </c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Z62" s="99"/>
    </row>
    <row r="63" spans="1:104" s="126" customFormat="1" ht="18.75">
      <c r="A63" s="179">
        <v>2202</v>
      </c>
      <c r="B63" s="179">
        <v>37</v>
      </c>
      <c r="C63" s="180" t="str">
        <f>IF(ISNA(VLOOKUP(B63,Master!AQ$59:BC$106,3,FALSE)),"",VLOOKUP(B63,Master!AQ$59:BC$106,3,FALSE))</f>
        <v/>
      </c>
      <c r="D63" s="181" t="str">
        <f>IF(ISNA(VLOOKUP(B63,Master!AQ$59:BC$106,7,FALSE)),"",VLOOKUP(B63,Master!AQ$59:BC$106,7,FALSE))</f>
        <v/>
      </c>
      <c r="E63" s="182" t="str">
        <f>IF(ISNA(VLOOKUP(B63,Master!AQ$59:BC$106,8,FALSE)),"",VLOOKUP(B63,Master!AQ$59:BC$106,8,FALSE))</f>
        <v/>
      </c>
      <c r="F63" s="183" t="str">
        <f>IF(ISNA(VLOOKUP(B63,Master!AQ$59:BC$106,4,FALSE)),"",VLOOKUP(B63,Master!AQ$59:BC$106,4,FALSE))</f>
        <v/>
      </c>
      <c r="G63" s="184" t="str">
        <f>IF(ISNA(VLOOKUP(B63,Master!AQ$59:BC$106,5,FALSE)),"",VLOOKUP(B63,Master!AQ$59:BC$106,5,FALSE))</f>
        <v/>
      </c>
      <c r="H63" s="185" t="str">
        <f>IF(ISNA(VLOOKUP(B63,Master!AQ$59:BC$106,6,FALSE)),"",VLOOKUP(B63,Master!AQ$59:BC$106,6,FALSE))</f>
        <v/>
      </c>
      <c r="I63" s="179" t="str">
        <f t="shared" si="82"/>
        <v/>
      </c>
      <c r="J63" s="181" t="str">
        <f t="shared" ca="1" si="83"/>
        <v/>
      </c>
      <c r="K63" s="179" t="str">
        <f t="shared" si="84"/>
        <v/>
      </c>
      <c r="L63" s="179" t="str">
        <f t="shared" si="85"/>
        <v/>
      </c>
      <c r="M63" s="179" t="str">
        <f t="shared" si="86"/>
        <v/>
      </c>
      <c r="N63" s="268" t="str">
        <f>IF(ISNA(VLOOKUP(B63,Master!AQ$59:BC$106,12,FALSE)),"",VLOOKUP(B63,Master!AQ$59:BC$106,12,FALSE))</f>
        <v/>
      </c>
      <c r="O63" s="262"/>
      <c r="P63" s="262"/>
      <c r="Q63" s="262"/>
      <c r="R63" s="262">
        <f t="shared" si="87"/>
        <v>0</v>
      </c>
      <c r="S63" s="102">
        <f t="shared" si="103"/>
        <v>1</v>
      </c>
      <c r="T63" s="1" t="str">
        <f>IF(ISNA(VLOOKUP(B63,Master!AQ$59:BC$106,10,FALSE)),"",VLOOKUP(B63,Master!AQ$59:BC$106,10,FALSE))</f>
        <v/>
      </c>
      <c r="U63" s="127"/>
      <c r="V63" s="127"/>
      <c r="W63" s="128" t="str">
        <f>IF(ISNA(VLOOKUP(B63,Master!AQ$59:BC$106,11,FALSE)),"",VLOOKUP(B63,Master!AQ$59:BC$106,11,FALSE))</f>
        <v/>
      </c>
      <c r="X63" s="128" t="str">
        <f>IF(ISNA(VLOOKUP(B63,Master!AQ$59:BC$106,9,FALSE)),"",VLOOKUP(B63,Master!AQ$59:BC$106,9,FALSE))</f>
        <v/>
      </c>
      <c r="Y63" s="129">
        <f t="shared" si="55"/>
        <v>0</v>
      </c>
      <c r="Z63" s="129">
        <f t="shared" si="56"/>
        <v>0</v>
      </c>
      <c r="AA63" s="129">
        <f t="shared" si="57"/>
        <v>0</v>
      </c>
      <c r="AB63" s="129">
        <f t="shared" si="58"/>
        <v>0</v>
      </c>
      <c r="AC63" s="129">
        <f t="shared" si="59"/>
        <v>0</v>
      </c>
      <c r="AD63" s="129">
        <f t="shared" si="60"/>
        <v>0</v>
      </c>
      <c r="AE63" s="130" t="str">
        <f t="shared" si="88"/>
        <v/>
      </c>
      <c r="AF63" s="130" t="str">
        <f t="shared" si="89"/>
        <v/>
      </c>
      <c r="AG63" s="130" t="str">
        <f t="shared" si="90"/>
        <v/>
      </c>
      <c r="AH63" s="130" t="str">
        <f t="shared" si="91"/>
        <v/>
      </c>
      <c r="AI63" s="130" t="str">
        <f t="shared" si="92"/>
        <v/>
      </c>
      <c r="AJ63" s="128" t="str">
        <f t="shared" si="93"/>
        <v/>
      </c>
      <c r="AK63" s="128">
        <v>0</v>
      </c>
      <c r="AL63" s="129">
        <v>0</v>
      </c>
      <c r="AM63" s="128" t="str">
        <f t="shared" si="94"/>
        <v/>
      </c>
      <c r="AN63" s="129">
        <f t="shared" si="61"/>
        <v>0</v>
      </c>
      <c r="AO63" s="128">
        <f t="shared" si="48"/>
        <v>0</v>
      </c>
      <c r="AP63" s="128">
        <f t="shared" si="62"/>
        <v>0</v>
      </c>
      <c r="AQ63" s="128">
        <f t="shared" si="63"/>
        <v>0</v>
      </c>
      <c r="AR63" s="128">
        <f t="shared" si="64"/>
        <v>0</v>
      </c>
      <c r="AS63" s="130">
        <f t="shared" si="65"/>
        <v>0</v>
      </c>
      <c r="AT63" s="130">
        <f t="shared" si="66"/>
        <v>0</v>
      </c>
      <c r="AU63" s="128"/>
      <c r="AV63" s="128"/>
      <c r="AW63" s="130">
        <f t="shared" si="95"/>
        <v>0</v>
      </c>
      <c r="AX63" s="130">
        <f t="shared" si="67"/>
        <v>0</v>
      </c>
      <c r="AY63" s="130">
        <f t="shared" si="68"/>
        <v>0</v>
      </c>
      <c r="AZ63" s="130">
        <f t="shared" si="69"/>
        <v>0</v>
      </c>
      <c r="BA63" s="130">
        <f t="shared" si="70"/>
        <v>0</v>
      </c>
      <c r="BB63" s="128">
        <f t="shared" si="96"/>
        <v>0</v>
      </c>
      <c r="BC63" s="128">
        <f t="shared" si="71"/>
        <v>0</v>
      </c>
      <c r="BD63" s="129">
        <v>0</v>
      </c>
      <c r="BE63" s="128">
        <f t="shared" si="97"/>
        <v>0</v>
      </c>
      <c r="BF63" s="129">
        <f t="shared" si="72"/>
        <v>0</v>
      </c>
      <c r="BG63" s="128">
        <f t="shared" si="49"/>
        <v>0</v>
      </c>
      <c r="BH63" s="128">
        <f t="shared" si="73"/>
        <v>0</v>
      </c>
      <c r="BI63" s="128">
        <f t="shared" si="74"/>
        <v>0</v>
      </c>
      <c r="BJ63" s="128">
        <f t="shared" si="75"/>
        <v>0</v>
      </c>
      <c r="BK63" s="130">
        <f t="shared" si="98"/>
        <v>0</v>
      </c>
      <c r="BL63" s="130">
        <f t="shared" si="99"/>
        <v>0</v>
      </c>
      <c r="BM63" s="128"/>
      <c r="BN63" s="128"/>
      <c r="BO63" s="130">
        <f t="shared" si="100"/>
        <v>0</v>
      </c>
      <c r="BP63" s="124">
        <f t="shared" si="76"/>
        <v>0</v>
      </c>
      <c r="BQ63" s="124">
        <f t="shared" si="77"/>
        <v>1</v>
      </c>
      <c r="BR63" s="124">
        <f t="shared" si="78"/>
        <v>0</v>
      </c>
      <c r="BS63" s="124">
        <f t="shared" si="79"/>
        <v>0</v>
      </c>
      <c r="BT63" s="124">
        <f t="shared" si="50"/>
        <v>0</v>
      </c>
      <c r="BU63" s="124">
        <f t="shared" si="101"/>
        <v>1</v>
      </c>
      <c r="BV63" s="110">
        <f t="shared" si="80"/>
        <v>0</v>
      </c>
      <c r="BW63" s="131">
        <f t="shared" si="102"/>
        <v>1</v>
      </c>
      <c r="BX63" s="110">
        <f t="shared" si="52"/>
        <v>0</v>
      </c>
      <c r="BY63" s="110">
        <f t="shared" si="53"/>
        <v>0</v>
      </c>
      <c r="BZ63" s="99" t="str">
        <f t="shared" si="81"/>
        <v/>
      </c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Z63" s="99"/>
    </row>
    <row r="64" spans="1:104" s="126" customFormat="1" ht="18.75">
      <c r="A64" s="179">
        <v>2202</v>
      </c>
      <c r="B64" s="179">
        <v>38</v>
      </c>
      <c r="C64" s="180" t="str">
        <f>IF(ISNA(VLOOKUP(B64,Master!AQ$59:BC$106,3,FALSE)),"",VLOOKUP(B64,Master!AQ$59:BC$106,3,FALSE))</f>
        <v/>
      </c>
      <c r="D64" s="181" t="str">
        <f>IF(ISNA(VLOOKUP(B64,Master!AQ$59:BC$106,7,FALSE)),"",VLOOKUP(B64,Master!AQ$59:BC$106,7,FALSE))</f>
        <v/>
      </c>
      <c r="E64" s="182" t="str">
        <f>IF(ISNA(VLOOKUP(B64,Master!AQ$59:BC$106,8,FALSE)),"",VLOOKUP(B64,Master!AQ$59:BC$106,8,FALSE))</f>
        <v/>
      </c>
      <c r="F64" s="183" t="str">
        <f>IF(ISNA(VLOOKUP(B64,Master!AQ$59:BC$106,4,FALSE)),"",VLOOKUP(B64,Master!AQ$59:BC$106,4,FALSE))</f>
        <v/>
      </c>
      <c r="G64" s="184" t="str">
        <f>IF(ISNA(VLOOKUP(B64,Master!AQ$59:BC$106,5,FALSE)),"",VLOOKUP(B64,Master!AQ$59:BC$106,5,FALSE))</f>
        <v/>
      </c>
      <c r="H64" s="185" t="str">
        <f>IF(ISNA(VLOOKUP(B64,Master!AQ$59:BC$106,6,FALSE)),"",VLOOKUP(B64,Master!AQ$59:BC$106,6,FALSE))</f>
        <v/>
      </c>
      <c r="I64" s="179" t="str">
        <f t="shared" si="82"/>
        <v/>
      </c>
      <c r="J64" s="181" t="str">
        <f t="shared" ca="1" si="83"/>
        <v/>
      </c>
      <c r="K64" s="179" t="str">
        <f t="shared" si="84"/>
        <v/>
      </c>
      <c r="L64" s="179" t="str">
        <f t="shared" si="85"/>
        <v/>
      </c>
      <c r="M64" s="179" t="str">
        <f t="shared" si="86"/>
        <v/>
      </c>
      <c r="N64" s="268" t="str">
        <f>IF(ISNA(VLOOKUP(B64,Master!AQ$59:BC$106,12,FALSE)),"",VLOOKUP(B64,Master!AQ$59:BC$106,12,FALSE))</f>
        <v/>
      </c>
      <c r="O64" s="262"/>
      <c r="P64" s="262"/>
      <c r="Q64" s="262"/>
      <c r="R64" s="262">
        <f t="shared" si="87"/>
        <v>0</v>
      </c>
      <c r="S64" s="102">
        <f t="shared" si="103"/>
        <v>1</v>
      </c>
      <c r="T64" s="1" t="str">
        <f>IF(ISNA(VLOOKUP(B64,Master!AQ$59:BC$106,10,FALSE)),"",VLOOKUP(B64,Master!AQ$59:BC$106,10,FALSE))</f>
        <v/>
      </c>
      <c r="U64" s="127"/>
      <c r="V64" s="127"/>
      <c r="W64" s="128" t="str">
        <f>IF(ISNA(VLOOKUP(B64,Master!AQ$59:BC$106,11,FALSE)),"",VLOOKUP(B64,Master!AQ$59:BC$106,11,FALSE))</f>
        <v/>
      </c>
      <c r="X64" s="128" t="str">
        <f>IF(ISNA(VLOOKUP(B64,Master!AQ$59:BC$106,9,FALSE)),"",VLOOKUP(B64,Master!AQ$59:BC$106,9,FALSE))</f>
        <v/>
      </c>
      <c r="Y64" s="129">
        <f t="shared" si="55"/>
        <v>0</v>
      </c>
      <c r="Z64" s="129">
        <f t="shared" si="56"/>
        <v>0</v>
      </c>
      <c r="AA64" s="129">
        <f t="shared" si="57"/>
        <v>0</v>
      </c>
      <c r="AB64" s="129">
        <f t="shared" si="58"/>
        <v>0</v>
      </c>
      <c r="AC64" s="129">
        <f t="shared" si="59"/>
        <v>0</v>
      </c>
      <c r="AD64" s="129">
        <f t="shared" si="60"/>
        <v>0</v>
      </c>
      <c r="AE64" s="130" t="str">
        <f t="shared" si="88"/>
        <v/>
      </c>
      <c r="AF64" s="130" t="str">
        <f t="shared" si="89"/>
        <v/>
      </c>
      <c r="AG64" s="130" t="str">
        <f t="shared" si="90"/>
        <v/>
      </c>
      <c r="AH64" s="130" t="str">
        <f t="shared" si="91"/>
        <v/>
      </c>
      <c r="AI64" s="130" t="str">
        <f t="shared" si="92"/>
        <v/>
      </c>
      <c r="AJ64" s="128" t="str">
        <f t="shared" si="93"/>
        <v/>
      </c>
      <c r="AK64" s="128">
        <v>0</v>
      </c>
      <c r="AL64" s="129">
        <v>0</v>
      </c>
      <c r="AM64" s="128" t="str">
        <f t="shared" si="94"/>
        <v/>
      </c>
      <c r="AN64" s="129">
        <f t="shared" si="61"/>
        <v>0</v>
      </c>
      <c r="AO64" s="128">
        <f t="shared" si="48"/>
        <v>0</v>
      </c>
      <c r="AP64" s="128">
        <f t="shared" si="62"/>
        <v>0</v>
      </c>
      <c r="AQ64" s="128">
        <f t="shared" si="63"/>
        <v>0</v>
      </c>
      <c r="AR64" s="128">
        <f t="shared" si="64"/>
        <v>0</v>
      </c>
      <c r="AS64" s="130">
        <f t="shared" si="65"/>
        <v>0</v>
      </c>
      <c r="AT64" s="130">
        <f t="shared" si="66"/>
        <v>0</v>
      </c>
      <c r="AU64" s="128"/>
      <c r="AV64" s="128"/>
      <c r="AW64" s="130">
        <f t="shared" si="95"/>
        <v>0</v>
      </c>
      <c r="AX64" s="130">
        <f t="shared" si="67"/>
        <v>0</v>
      </c>
      <c r="AY64" s="130">
        <f t="shared" si="68"/>
        <v>0</v>
      </c>
      <c r="AZ64" s="130">
        <f t="shared" si="69"/>
        <v>0</v>
      </c>
      <c r="BA64" s="130">
        <f t="shared" si="70"/>
        <v>0</v>
      </c>
      <c r="BB64" s="128">
        <f t="shared" si="96"/>
        <v>0</v>
      </c>
      <c r="BC64" s="128">
        <f t="shared" si="71"/>
        <v>0</v>
      </c>
      <c r="BD64" s="129">
        <v>0</v>
      </c>
      <c r="BE64" s="128">
        <f t="shared" si="97"/>
        <v>0</v>
      </c>
      <c r="BF64" s="129">
        <f t="shared" si="72"/>
        <v>0</v>
      </c>
      <c r="BG64" s="128">
        <f t="shared" si="49"/>
        <v>0</v>
      </c>
      <c r="BH64" s="128">
        <f t="shared" si="73"/>
        <v>0</v>
      </c>
      <c r="BI64" s="128">
        <f t="shared" si="74"/>
        <v>0</v>
      </c>
      <c r="BJ64" s="128">
        <f t="shared" si="75"/>
        <v>0</v>
      </c>
      <c r="BK64" s="130">
        <f t="shared" si="98"/>
        <v>0</v>
      </c>
      <c r="BL64" s="130">
        <f t="shared" si="99"/>
        <v>0</v>
      </c>
      <c r="BM64" s="128"/>
      <c r="BN64" s="128"/>
      <c r="BO64" s="130">
        <f t="shared" si="100"/>
        <v>0</v>
      </c>
      <c r="BP64" s="124">
        <f t="shared" si="76"/>
        <v>0</v>
      </c>
      <c r="BQ64" s="124">
        <f t="shared" si="77"/>
        <v>1</v>
      </c>
      <c r="BR64" s="124">
        <f t="shared" si="78"/>
        <v>0</v>
      </c>
      <c r="BS64" s="124">
        <f t="shared" si="79"/>
        <v>0</v>
      </c>
      <c r="BT64" s="124">
        <f t="shared" si="50"/>
        <v>0</v>
      </c>
      <c r="BU64" s="124">
        <f t="shared" si="101"/>
        <v>1</v>
      </c>
      <c r="BV64" s="110">
        <f t="shared" si="80"/>
        <v>0</v>
      </c>
      <c r="BW64" s="131">
        <f t="shared" si="102"/>
        <v>1</v>
      </c>
      <c r="BX64" s="110">
        <f t="shared" si="52"/>
        <v>0</v>
      </c>
      <c r="BY64" s="110">
        <f t="shared" si="53"/>
        <v>0</v>
      </c>
      <c r="BZ64" s="99" t="str">
        <f t="shared" si="81"/>
        <v/>
      </c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Z64" s="99"/>
    </row>
    <row r="65" spans="1:104" s="126" customFormat="1" ht="18.75">
      <c r="A65" s="179">
        <v>2202</v>
      </c>
      <c r="B65" s="179">
        <v>39</v>
      </c>
      <c r="C65" s="180" t="str">
        <f>IF(ISNA(VLOOKUP(B65,Master!AQ$59:BC$106,3,FALSE)),"",VLOOKUP(B65,Master!AQ$59:BC$106,3,FALSE))</f>
        <v/>
      </c>
      <c r="D65" s="181" t="str">
        <f>IF(ISNA(VLOOKUP(B65,Master!AQ$59:BC$106,7,FALSE)),"",VLOOKUP(B65,Master!AQ$59:BC$106,7,FALSE))</f>
        <v/>
      </c>
      <c r="E65" s="182" t="str">
        <f>IF(ISNA(VLOOKUP(B65,Master!AQ$59:BC$106,8,FALSE)),"",VLOOKUP(B65,Master!AQ$59:BC$106,8,FALSE))</f>
        <v/>
      </c>
      <c r="F65" s="183" t="str">
        <f>IF(ISNA(VLOOKUP(B65,Master!AQ$59:BC$106,4,FALSE)),"",VLOOKUP(B65,Master!AQ$59:BC$106,4,FALSE))</f>
        <v/>
      </c>
      <c r="G65" s="184" t="str">
        <f>IF(ISNA(VLOOKUP(B65,Master!AQ$59:BC$106,5,FALSE)),"",VLOOKUP(B65,Master!AQ$59:BC$106,5,FALSE))</f>
        <v/>
      </c>
      <c r="H65" s="185" t="str">
        <f>IF(ISNA(VLOOKUP(B65,Master!AQ$59:BC$106,6,FALSE)),"",VLOOKUP(B65,Master!AQ$59:BC$106,6,FALSE))</f>
        <v/>
      </c>
      <c r="I65" s="179" t="str">
        <f>IF(AND(H65=""),"",H65*12)</f>
        <v/>
      </c>
      <c r="J65" s="181" t="str">
        <f t="shared" ca="1" si="83"/>
        <v/>
      </c>
      <c r="K65" s="179" t="str">
        <f t="shared" si="84"/>
        <v/>
      </c>
      <c r="L65" s="179" t="str">
        <f t="shared" si="85"/>
        <v/>
      </c>
      <c r="M65" s="179" t="str">
        <f t="shared" si="86"/>
        <v/>
      </c>
      <c r="N65" s="268" t="str">
        <f>IF(ISNA(VLOOKUP(B65,Master!AQ$59:BC$106,12,FALSE)),"",VLOOKUP(B65,Master!AQ$59:BC$106,12,FALSE))</f>
        <v/>
      </c>
      <c r="O65" s="262"/>
      <c r="P65" s="262"/>
      <c r="Q65" s="262"/>
      <c r="R65" s="262">
        <f t="shared" si="87"/>
        <v>0</v>
      </c>
      <c r="S65" s="102">
        <f t="shared" si="103"/>
        <v>1</v>
      </c>
      <c r="T65" s="1" t="str">
        <f>IF(ISNA(VLOOKUP(B65,Master!AQ$59:BC$106,10,FALSE)),"",VLOOKUP(B65,Master!AQ$59:BC$106,10,FALSE))</f>
        <v/>
      </c>
      <c r="U65" s="127"/>
      <c r="V65" s="127"/>
      <c r="W65" s="128" t="str">
        <f>IF(ISNA(VLOOKUP(B65,Master!AQ$59:BC$106,11,FALSE)),"",VLOOKUP(B65,Master!AQ$59:BC$106,11,FALSE))</f>
        <v/>
      </c>
      <c r="X65" s="128" t="str">
        <f>IF(ISNA(VLOOKUP(B65,Master!AQ$59:BC$106,9,FALSE)),"",VLOOKUP(B65,Master!AQ$59:BC$106,9,FALSE))</f>
        <v/>
      </c>
      <c r="Y65" s="129">
        <f t="shared" si="55"/>
        <v>0</v>
      </c>
      <c r="Z65" s="129">
        <f t="shared" si="56"/>
        <v>0</v>
      </c>
      <c r="AA65" s="129">
        <f t="shared" si="57"/>
        <v>0</v>
      </c>
      <c r="AB65" s="129">
        <f t="shared" si="58"/>
        <v>0</v>
      </c>
      <c r="AC65" s="129">
        <f t="shared" si="59"/>
        <v>0</v>
      </c>
      <c r="AD65" s="129">
        <f t="shared" si="60"/>
        <v>0</v>
      </c>
      <c r="AE65" s="130" t="str">
        <f t="shared" si="88"/>
        <v/>
      </c>
      <c r="AF65" s="130" t="str">
        <f t="shared" si="89"/>
        <v/>
      </c>
      <c r="AG65" s="130" t="str">
        <f t="shared" si="90"/>
        <v/>
      </c>
      <c r="AH65" s="130" t="str">
        <f t="shared" si="91"/>
        <v/>
      </c>
      <c r="AI65" s="130" t="str">
        <f t="shared" si="92"/>
        <v/>
      </c>
      <c r="AJ65" s="128" t="str">
        <f t="shared" si="93"/>
        <v/>
      </c>
      <c r="AK65" s="128">
        <v>0</v>
      </c>
      <c r="AL65" s="129">
        <v>0</v>
      </c>
      <c r="AM65" s="128" t="str">
        <f t="shared" si="94"/>
        <v/>
      </c>
      <c r="AN65" s="129">
        <f t="shared" si="61"/>
        <v>0</v>
      </c>
      <c r="AO65" s="128">
        <f t="shared" si="48"/>
        <v>0</v>
      </c>
      <c r="AP65" s="128">
        <f t="shared" si="62"/>
        <v>0</v>
      </c>
      <c r="AQ65" s="128">
        <f t="shared" si="63"/>
        <v>0</v>
      </c>
      <c r="AR65" s="128">
        <f t="shared" si="64"/>
        <v>0</v>
      </c>
      <c r="AS65" s="130">
        <f t="shared" si="65"/>
        <v>0</v>
      </c>
      <c r="AT65" s="130">
        <f t="shared" si="66"/>
        <v>0</v>
      </c>
      <c r="AU65" s="128"/>
      <c r="AV65" s="128"/>
      <c r="AW65" s="130">
        <f t="shared" si="95"/>
        <v>0</v>
      </c>
      <c r="AX65" s="130">
        <f t="shared" si="67"/>
        <v>0</v>
      </c>
      <c r="AY65" s="130">
        <f t="shared" si="68"/>
        <v>0</v>
      </c>
      <c r="AZ65" s="130">
        <f t="shared" si="69"/>
        <v>0</v>
      </c>
      <c r="BA65" s="130">
        <f t="shared" si="70"/>
        <v>0</v>
      </c>
      <c r="BB65" s="128">
        <f t="shared" si="96"/>
        <v>0</v>
      </c>
      <c r="BC65" s="128">
        <f t="shared" si="71"/>
        <v>0</v>
      </c>
      <c r="BD65" s="129">
        <v>0</v>
      </c>
      <c r="BE65" s="128">
        <f t="shared" si="97"/>
        <v>0</v>
      </c>
      <c r="BF65" s="129">
        <f t="shared" si="72"/>
        <v>0</v>
      </c>
      <c r="BG65" s="128">
        <f t="shared" si="49"/>
        <v>0</v>
      </c>
      <c r="BH65" s="128">
        <f t="shared" si="73"/>
        <v>0</v>
      </c>
      <c r="BI65" s="128">
        <f t="shared" si="74"/>
        <v>0</v>
      </c>
      <c r="BJ65" s="128">
        <f t="shared" si="75"/>
        <v>0</v>
      </c>
      <c r="BK65" s="130">
        <f t="shared" si="98"/>
        <v>0</v>
      </c>
      <c r="BL65" s="130">
        <f t="shared" si="99"/>
        <v>0</v>
      </c>
      <c r="BM65" s="128"/>
      <c r="BN65" s="128"/>
      <c r="BO65" s="130">
        <f t="shared" si="100"/>
        <v>0</v>
      </c>
      <c r="BP65" s="124">
        <f t="shared" si="76"/>
        <v>0</v>
      </c>
      <c r="BQ65" s="124">
        <f t="shared" si="77"/>
        <v>1</v>
      </c>
      <c r="BR65" s="124">
        <f t="shared" si="78"/>
        <v>0</v>
      </c>
      <c r="BS65" s="124">
        <f t="shared" si="79"/>
        <v>0</v>
      </c>
      <c r="BT65" s="124">
        <f t="shared" si="50"/>
        <v>0</v>
      </c>
      <c r="BU65" s="124">
        <f t="shared" si="101"/>
        <v>1</v>
      </c>
      <c r="BV65" s="110">
        <f t="shared" si="80"/>
        <v>0</v>
      </c>
      <c r="BW65" s="131">
        <f t="shared" si="102"/>
        <v>1</v>
      </c>
      <c r="BX65" s="110">
        <f t="shared" si="52"/>
        <v>0</v>
      </c>
      <c r="BY65" s="110">
        <f t="shared" si="53"/>
        <v>0</v>
      </c>
      <c r="BZ65" s="99" t="str">
        <f t="shared" si="81"/>
        <v/>
      </c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Z65" s="99"/>
    </row>
    <row r="66" spans="1:104" s="126" customFormat="1" ht="18.75">
      <c r="A66" s="179">
        <v>2202</v>
      </c>
      <c r="B66" s="179">
        <v>40</v>
      </c>
      <c r="C66" s="180" t="str">
        <f>IF(ISNA(VLOOKUP(B66,Master!AQ$59:BC$106,3,FALSE)),"",VLOOKUP(B66,Master!AQ$59:BC$106,3,FALSE))</f>
        <v/>
      </c>
      <c r="D66" s="181" t="str">
        <f>IF(ISNA(VLOOKUP(B66,Master!AQ$59:BC$106,7,FALSE)),"",VLOOKUP(B66,Master!AQ$59:BC$106,7,FALSE))</f>
        <v/>
      </c>
      <c r="E66" s="182" t="str">
        <f>IF(ISNA(VLOOKUP(B66,Master!AQ$59:BC$106,8,FALSE)),"",VLOOKUP(B66,Master!AQ$59:BC$106,8,FALSE))</f>
        <v/>
      </c>
      <c r="F66" s="183" t="str">
        <f>IF(ISNA(VLOOKUP(B66,Master!AQ$59:BC$106,4,FALSE)),"",VLOOKUP(B66,Master!AQ$59:BC$106,4,FALSE))</f>
        <v/>
      </c>
      <c r="G66" s="184" t="str">
        <f>IF(ISNA(VLOOKUP(B66,Master!AQ$59:BC$106,5,FALSE)),"",VLOOKUP(B66,Master!AQ$59:BC$106,5,FALSE))</f>
        <v/>
      </c>
      <c r="H66" s="185" t="str">
        <f>IF(ISNA(VLOOKUP(B66,Master!AQ$59:BC$106,6,FALSE)),"",VLOOKUP(B66,Master!AQ$59:BC$106,6,FALSE))</f>
        <v/>
      </c>
      <c r="I66" s="179" t="str">
        <f t="shared" si="82"/>
        <v/>
      </c>
      <c r="J66" s="181" t="str">
        <f t="shared" ca="1" si="83"/>
        <v/>
      </c>
      <c r="K66" s="179" t="str">
        <f t="shared" si="84"/>
        <v/>
      </c>
      <c r="L66" s="179" t="str">
        <f t="shared" si="85"/>
        <v/>
      </c>
      <c r="M66" s="179" t="str">
        <f t="shared" si="86"/>
        <v/>
      </c>
      <c r="N66" s="268" t="str">
        <f>IF(ISNA(VLOOKUP(B66,Master!AQ$59:BC$106,12,FALSE)),"",VLOOKUP(B66,Master!AQ$59:BC$106,12,FALSE))</f>
        <v/>
      </c>
      <c r="O66" s="262"/>
      <c r="P66" s="262"/>
      <c r="Q66" s="262"/>
      <c r="R66" s="262">
        <f t="shared" si="87"/>
        <v>0</v>
      </c>
      <c r="S66" s="102">
        <f t="shared" si="103"/>
        <v>1</v>
      </c>
      <c r="T66" s="1" t="str">
        <f>IF(ISNA(VLOOKUP(B66,Master!AQ$59:BC$106,10,FALSE)),"",VLOOKUP(B66,Master!AQ$59:BC$106,10,FALSE))</f>
        <v/>
      </c>
      <c r="U66" s="127"/>
      <c r="V66" s="127"/>
      <c r="W66" s="128" t="str">
        <f>IF(ISNA(VLOOKUP(B66,Master!AQ$59:BC$106,11,FALSE)),"",VLOOKUP(B66,Master!AQ$59:BC$106,11,FALSE))</f>
        <v/>
      </c>
      <c r="X66" s="128" t="str">
        <f>IF(ISNA(VLOOKUP(B66,Master!AQ$59:BC$106,9,FALSE)),"",VLOOKUP(B66,Master!AQ$59:BC$106,9,FALSE))</f>
        <v/>
      </c>
      <c r="Y66" s="129">
        <f t="shared" si="55"/>
        <v>0</v>
      </c>
      <c r="Z66" s="129">
        <f t="shared" si="56"/>
        <v>0</v>
      </c>
      <c r="AA66" s="129">
        <f t="shared" si="57"/>
        <v>0</v>
      </c>
      <c r="AB66" s="129">
        <f t="shared" si="58"/>
        <v>0</v>
      </c>
      <c r="AC66" s="129">
        <f t="shared" si="59"/>
        <v>0</v>
      </c>
      <c r="AD66" s="129">
        <f t="shared" si="60"/>
        <v>0</v>
      </c>
      <c r="AE66" s="130" t="str">
        <f t="shared" si="88"/>
        <v/>
      </c>
      <c r="AF66" s="130" t="str">
        <f t="shared" si="89"/>
        <v/>
      </c>
      <c r="AG66" s="130" t="str">
        <f t="shared" si="90"/>
        <v/>
      </c>
      <c r="AH66" s="130" t="str">
        <f t="shared" si="91"/>
        <v/>
      </c>
      <c r="AI66" s="130" t="str">
        <f t="shared" si="92"/>
        <v/>
      </c>
      <c r="AJ66" s="128" t="str">
        <f t="shared" si="93"/>
        <v/>
      </c>
      <c r="AK66" s="128">
        <v>0</v>
      </c>
      <c r="AL66" s="129">
        <v>0</v>
      </c>
      <c r="AM66" s="128" t="str">
        <f t="shared" si="94"/>
        <v/>
      </c>
      <c r="AN66" s="129">
        <f t="shared" si="61"/>
        <v>0</v>
      </c>
      <c r="AO66" s="128">
        <f t="shared" si="48"/>
        <v>0</v>
      </c>
      <c r="AP66" s="128">
        <f t="shared" si="62"/>
        <v>0</v>
      </c>
      <c r="AQ66" s="128">
        <f t="shared" si="63"/>
        <v>0</v>
      </c>
      <c r="AR66" s="128">
        <f t="shared" si="64"/>
        <v>0</v>
      </c>
      <c r="AS66" s="130">
        <f t="shared" si="65"/>
        <v>0</v>
      </c>
      <c r="AT66" s="130">
        <f t="shared" si="66"/>
        <v>0</v>
      </c>
      <c r="AU66" s="128"/>
      <c r="AV66" s="128"/>
      <c r="AW66" s="130">
        <f t="shared" si="95"/>
        <v>0</v>
      </c>
      <c r="AX66" s="130">
        <f t="shared" si="67"/>
        <v>0</v>
      </c>
      <c r="AY66" s="130">
        <f t="shared" si="68"/>
        <v>0</v>
      </c>
      <c r="AZ66" s="130">
        <f t="shared" si="69"/>
        <v>0</v>
      </c>
      <c r="BA66" s="130">
        <f t="shared" si="70"/>
        <v>0</v>
      </c>
      <c r="BB66" s="128">
        <f t="shared" si="96"/>
        <v>0</v>
      </c>
      <c r="BC66" s="128">
        <f t="shared" si="71"/>
        <v>0</v>
      </c>
      <c r="BD66" s="129">
        <v>0</v>
      </c>
      <c r="BE66" s="128">
        <f t="shared" si="97"/>
        <v>0</v>
      </c>
      <c r="BF66" s="129">
        <f t="shared" si="72"/>
        <v>0</v>
      </c>
      <c r="BG66" s="128">
        <f t="shared" si="49"/>
        <v>0</v>
      </c>
      <c r="BH66" s="128">
        <f t="shared" si="73"/>
        <v>0</v>
      </c>
      <c r="BI66" s="128">
        <f t="shared" si="74"/>
        <v>0</v>
      </c>
      <c r="BJ66" s="128">
        <f t="shared" si="75"/>
        <v>0</v>
      </c>
      <c r="BK66" s="130">
        <f t="shared" si="98"/>
        <v>0</v>
      </c>
      <c r="BL66" s="130">
        <f t="shared" si="99"/>
        <v>0</v>
      </c>
      <c r="BM66" s="128"/>
      <c r="BN66" s="128"/>
      <c r="BO66" s="130">
        <f t="shared" si="100"/>
        <v>0</v>
      </c>
      <c r="BP66" s="124">
        <f t="shared" si="76"/>
        <v>0</v>
      </c>
      <c r="BQ66" s="124">
        <f t="shared" si="77"/>
        <v>1</v>
      </c>
      <c r="BR66" s="124">
        <f t="shared" si="78"/>
        <v>0</v>
      </c>
      <c r="BS66" s="124">
        <f t="shared" si="79"/>
        <v>0</v>
      </c>
      <c r="BT66" s="124">
        <f t="shared" si="50"/>
        <v>0</v>
      </c>
      <c r="BU66" s="124">
        <f t="shared" si="101"/>
        <v>1</v>
      </c>
      <c r="BV66" s="110">
        <f t="shared" si="80"/>
        <v>0</v>
      </c>
      <c r="BW66" s="131">
        <f t="shared" si="102"/>
        <v>1</v>
      </c>
      <c r="BX66" s="110">
        <f t="shared" si="52"/>
        <v>0</v>
      </c>
      <c r="BY66" s="110">
        <f t="shared" si="53"/>
        <v>0</v>
      </c>
      <c r="BZ66" s="99" t="str">
        <f t="shared" si="81"/>
        <v/>
      </c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Z66" s="99"/>
    </row>
    <row r="67" spans="1:104" s="126" customFormat="1" ht="18.75">
      <c r="A67" s="179">
        <v>2202</v>
      </c>
      <c r="B67" s="179">
        <v>41</v>
      </c>
      <c r="C67" s="180" t="str">
        <f>IF(ISNA(VLOOKUP(B67,Master!AQ$59:BC$106,3,FALSE)),"",VLOOKUP(B67,Master!AQ$59:BC$106,3,FALSE))</f>
        <v/>
      </c>
      <c r="D67" s="181" t="str">
        <f>IF(ISNA(VLOOKUP(B67,Master!AQ$59:BC$106,7,FALSE)),"",VLOOKUP(B67,Master!AQ$59:BC$106,7,FALSE))</f>
        <v/>
      </c>
      <c r="E67" s="182" t="str">
        <f>IF(ISNA(VLOOKUP(B67,Master!AQ$59:BC$106,8,FALSE)),"",VLOOKUP(B67,Master!AQ$59:BC$106,8,FALSE))</f>
        <v/>
      </c>
      <c r="F67" s="183" t="str">
        <f>IF(ISNA(VLOOKUP(B67,Master!AQ$59:BC$106,4,FALSE)),"",VLOOKUP(B67,Master!AQ$59:BC$106,4,FALSE))</f>
        <v/>
      </c>
      <c r="G67" s="184" t="str">
        <f>IF(ISNA(VLOOKUP(B67,Master!AQ$59:BC$106,5,FALSE)),"",VLOOKUP(B67,Master!AQ$59:BC$106,5,FALSE))</f>
        <v/>
      </c>
      <c r="H67" s="185" t="str">
        <f>IF(ISNA(VLOOKUP(B67,Master!AQ$59:BC$106,6,FALSE)),"",VLOOKUP(B67,Master!AQ$59:BC$106,6,FALSE))</f>
        <v/>
      </c>
      <c r="I67" s="179" t="str">
        <f t="shared" si="82"/>
        <v/>
      </c>
      <c r="J67" s="181" t="str">
        <f t="shared" ca="1" si="83"/>
        <v/>
      </c>
      <c r="K67" s="179" t="str">
        <f t="shared" si="84"/>
        <v/>
      </c>
      <c r="L67" s="179" t="str">
        <f t="shared" si="85"/>
        <v/>
      </c>
      <c r="M67" s="179" t="str">
        <f t="shared" si="86"/>
        <v/>
      </c>
      <c r="N67" s="268" t="str">
        <f>IF(ISNA(VLOOKUP(B67,Master!AQ$59:BC$106,12,FALSE)),"",VLOOKUP(B67,Master!AQ$59:BC$106,12,FALSE))</f>
        <v/>
      </c>
      <c r="O67" s="262"/>
      <c r="P67" s="262"/>
      <c r="Q67" s="262"/>
      <c r="R67" s="262">
        <f t="shared" si="87"/>
        <v>0</v>
      </c>
      <c r="S67" s="102">
        <f t="shared" si="103"/>
        <v>1</v>
      </c>
      <c r="T67" s="1" t="str">
        <f>IF(ISNA(VLOOKUP(B67,Master!AQ$59:BC$106,10,FALSE)),"",VLOOKUP(B67,Master!AQ$59:BC$106,10,FALSE))</f>
        <v/>
      </c>
      <c r="U67" s="127"/>
      <c r="V67" s="127"/>
      <c r="W67" s="128" t="str">
        <f>IF(ISNA(VLOOKUP(B67,Master!AQ$59:BC$106,11,FALSE)),"",VLOOKUP(B67,Master!AQ$59:BC$106,11,FALSE))</f>
        <v/>
      </c>
      <c r="X67" s="128" t="str">
        <f>IF(ISNA(VLOOKUP(B67,Master!AQ$59:BC$106,9,FALSE)),"",VLOOKUP(B67,Master!AQ$59:BC$106,9,FALSE))</f>
        <v/>
      </c>
      <c r="Y67" s="129">
        <f t="shared" si="55"/>
        <v>0</v>
      </c>
      <c r="Z67" s="129">
        <f t="shared" si="56"/>
        <v>0</v>
      </c>
      <c r="AA67" s="129">
        <f t="shared" si="57"/>
        <v>0</v>
      </c>
      <c r="AB67" s="129">
        <f t="shared" si="58"/>
        <v>0</v>
      </c>
      <c r="AC67" s="129">
        <f t="shared" si="59"/>
        <v>0</v>
      </c>
      <c r="AD67" s="129">
        <f t="shared" si="60"/>
        <v>0</v>
      </c>
      <c r="AE67" s="130" t="str">
        <f t="shared" si="88"/>
        <v/>
      </c>
      <c r="AF67" s="130" t="str">
        <f t="shared" si="89"/>
        <v/>
      </c>
      <c r="AG67" s="130" t="str">
        <f t="shared" si="90"/>
        <v/>
      </c>
      <c r="AH67" s="130" t="str">
        <f t="shared" si="91"/>
        <v/>
      </c>
      <c r="AI67" s="130" t="str">
        <f t="shared" si="92"/>
        <v/>
      </c>
      <c r="AJ67" s="128" t="str">
        <f t="shared" si="93"/>
        <v/>
      </c>
      <c r="AK67" s="128">
        <v>0</v>
      </c>
      <c r="AL67" s="129">
        <v>0</v>
      </c>
      <c r="AM67" s="128" t="str">
        <f t="shared" si="94"/>
        <v/>
      </c>
      <c r="AN67" s="129">
        <f t="shared" si="61"/>
        <v>0</v>
      </c>
      <c r="AO67" s="128">
        <f t="shared" si="48"/>
        <v>0</v>
      </c>
      <c r="AP67" s="128">
        <f t="shared" si="62"/>
        <v>0</v>
      </c>
      <c r="AQ67" s="128">
        <f t="shared" si="63"/>
        <v>0</v>
      </c>
      <c r="AR67" s="128">
        <f t="shared" si="64"/>
        <v>0</v>
      </c>
      <c r="AS67" s="130">
        <f t="shared" si="65"/>
        <v>0</v>
      </c>
      <c r="AT67" s="130">
        <f t="shared" si="66"/>
        <v>0</v>
      </c>
      <c r="AU67" s="128"/>
      <c r="AV67" s="128"/>
      <c r="AW67" s="130">
        <f t="shared" si="95"/>
        <v>0</v>
      </c>
      <c r="AX67" s="130">
        <f t="shared" si="67"/>
        <v>0</v>
      </c>
      <c r="AY67" s="130">
        <f t="shared" si="68"/>
        <v>0</v>
      </c>
      <c r="AZ67" s="130">
        <f t="shared" si="69"/>
        <v>0</v>
      </c>
      <c r="BA67" s="130">
        <f t="shared" si="70"/>
        <v>0</v>
      </c>
      <c r="BB67" s="128">
        <f t="shared" si="96"/>
        <v>0</v>
      </c>
      <c r="BC67" s="128">
        <f t="shared" si="71"/>
        <v>0</v>
      </c>
      <c r="BD67" s="129">
        <v>0</v>
      </c>
      <c r="BE67" s="128">
        <f t="shared" si="97"/>
        <v>0</v>
      </c>
      <c r="BF67" s="129">
        <f t="shared" si="72"/>
        <v>0</v>
      </c>
      <c r="BG67" s="128">
        <f t="shared" si="49"/>
        <v>0</v>
      </c>
      <c r="BH67" s="128">
        <f t="shared" si="73"/>
        <v>0</v>
      </c>
      <c r="BI67" s="128">
        <f t="shared" si="74"/>
        <v>0</v>
      </c>
      <c r="BJ67" s="128">
        <f t="shared" si="75"/>
        <v>0</v>
      </c>
      <c r="BK67" s="130">
        <f t="shared" si="98"/>
        <v>0</v>
      </c>
      <c r="BL67" s="130">
        <f t="shared" si="99"/>
        <v>0</v>
      </c>
      <c r="BM67" s="128"/>
      <c r="BN67" s="128"/>
      <c r="BO67" s="130">
        <f t="shared" si="100"/>
        <v>0</v>
      </c>
      <c r="BP67" s="124">
        <f t="shared" si="76"/>
        <v>0</v>
      </c>
      <c r="BQ67" s="124">
        <f t="shared" si="77"/>
        <v>1</v>
      </c>
      <c r="BR67" s="124">
        <f t="shared" si="78"/>
        <v>0</v>
      </c>
      <c r="BS67" s="124">
        <f t="shared" si="79"/>
        <v>0</v>
      </c>
      <c r="BT67" s="124">
        <f t="shared" si="50"/>
        <v>0</v>
      </c>
      <c r="BU67" s="124">
        <f t="shared" si="101"/>
        <v>1</v>
      </c>
      <c r="BV67" s="110">
        <f t="shared" si="80"/>
        <v>0</v>
      </c>
      <c r="BW67" s="131">
        <f t="shared" si="102"/>
        <v>1</v>
      </c>
      <c r="BX67" s="110">
        <f t="shared" si="52"/>
        <v>0</v>
      </c>
      <c r="BY67" s="110">
        <f t="shared" si="53"/>
        <v>0</v>
      </c>
      <c r="BZ67" s="99" t="str">
        <f t="shared" si="81"/>
        <v/>
      </c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Z67" s="99"/>
    </row>
    <row r="68" spans="1:104" s="126" customFormat="1" ht="18.75">
      <c r="A68" s="179">
        <v>2202</v>
      </c>
      <c r="B68" s="179">
        <v>42</v>
      </c>
      <c r="C68" s="180" t="str">
        <f>IF(ISNA(VLOOKUP(B68,Master!AQ$59:BC$106,3,FALSE)),"",VLOOKUP(B68,Master!AQ$59:BC$106,3,FALSE))</f>
        <v/>
      </c>
      <c r="D68" s="181" t="str">
        <f>IF(ISNA(VLOOKUP(B68,Master!AQ$59:BC$106,7,FALSE)),"",VLOOKUP(B68,Master!AQ$59:BC$106,7,FALSE))</f>
        <v/>
      </c>
      <c r="E68" s="182" t="str">
        <f>IF(ISNA(VLOOKUP(B68,Master!AQ$59:BC$106,8,FALSE)),"",VLOOKUP(B68,Master!AQ$59:BC$106,8,FALSE))</f>
        <v/>
      </c>
      <c r="F68" s="183" t="str">
        <f>IF(ISNA(VLOOKUP(B68,Master!AQ$59:BC$106,4,FALSE)),"",VLOOKUP(B68,Master!AQ$59:BC$106,4,FALSE))</f>
        <v/>
      </c>
      <c r="G68" s="184" t="str">
        <f>IF(ISNA(VLOOKUP(B68,Master!AQ$59:BC$106,5,FALSE)),"",VLOOKUP(B68,Master!AQ$59:BC$106,5,FALSE))</f>
        <v/>
      </c>
      <c r="H68" s="185" t="str">
        <f>IF(ISNA(VLOOKUP(B68,Master!AQ$59:BC$106,6,FALSE)),"",VLOOKUP(B68,Master!AQ$59:BC$106,6,FALSE))</f>
        <v/>
      </c>
      <c r="I68" s="179" t="str">
        <f t="shared" si="82"/>
        <v/>
      </c>
      <c r="J68" s="181" t="str">
        <f t="shared" ca="1" si="83"/>
        <v/>
      </c>
      <c r="K68" s="179" t="str">
        <f t="shared" si="84"/>
        <v/>
      </c>
      <c r="L68" s="179" t="str">
        <f t="shared" si="85"/>
        <v/>
      </c>
      <c r="M68" s="179" t="str">
        <f t="shared" si="86"/>
        <v/>
      </c>
      <c r="N68" s="268" t="str">
        <f>IF(ISNA(VLOOKUP(B68,Master!AQ$59:BC$106,12,FALSE)),"",VLOOKUP(B68,Master!AQ$59:BC$106,12,FALSE))</f>
        <v/>
      </c>
      <c r="O68" s="262"/>
      <c r="P68" s="262"/>
      <c r="Q68" s="262"/>
      <c r="R68" s="262">
        <f t="shared" si="87"/>
        <v>0</v>
      </c>
      <c r="S68" s="102">
        <f t="shared" si="103"/>
        <v>1</v>
      </c>
      <c r="T68" s="1" t="str">
        <f>IF(ISNA(VLOOKUP(B68,Master!AQ$59:BC$106,10,FALSE)),"",VLOOKUP(B68,Master!AQ$59:BC$106,10,FALSE))</f>
        <v/>
      </c>
      <c r="U68" s="127"/>
      <c r="V68" s="127"/>
      <c r="W68" s="128" t="str">
        <f>IF(ISNA(VLOOKUP(B68,Master!AQ$59:BC$106,11,FALSE)),"",VLOOKUP(B68,Master!AQ$59:BC$106,11,FALSE))</f>
        <v/>
      </c>
      <c r="X68" s="128" t="str">
        <f>IF(ISNA(VLOOKUP(B68,Master!AQ$59:BC$106,9,FALSE)),"",VLOOKUP(B68,Master!AQ$59:BC$106,9,FALSE))</f>
        <v/>
      </c>
      <c r="Y68" s="129">
        <f t="shared" si="55"/>
        <v>0</v>
      </c>
      <c r="Z68" s="129">
        <f t="shared" si="56"/>
        <v>0</v>
      </c>
      <c r="AA68" s="129">
        <f t="shared" si="57"/>
        <v>0</v>
      </c>
      <c r="AB68" s="129">
        <f t="shared" si="58"/>
        <v>0</v>
      </c>
      <c r="AC68" s="129">
        <f t="shared" si="59"/>
        <v>0</v>
      </c>
      <c r="AD68" s="129">
        <f t="shared" si="60"/>
        <v>0</v>
      </c>
      <c r="AE68" s="130" t="str">
        <f t="shared" si="88"/>
        <v/>
      </c>
      <c r="AF68" s="130" t="str">
        <f t="shared" si="89"/>
        <v/>
      </c>
      <c r="AG68" s="130" t="str">
        <f t="shared" si="90"/>
        <v/>
      </c>
      <c r="AH68" s="130" t="str">
        <f t="shared" si="91"/>
        <v/>
      </c>
      <c r="AI68" s="130" t="str">
        <f t="shared" si="92"/>
        <v/>
      </c>
      <c r="AJ68" s="128" t="str">
        <f t="shared" si="93"/>
        <v/>
      </c>
      <c r="AK68" s="128">
        <v>0</v>
      </c>
      <c r="AL68" s="129">
        <v>0</v>
      </c>
      <c r="AM68" s="128" t="str">
        <f t="shared" si="94"/>
        <v/>
      </c>
      <c r="AN68" s="129">
        <f t="shared" si="61"/>
        <v>0</v>
      </c>
      <c r="AO68" s="128">
        <f t="shared" si="48"/>
        <v>0</v>
      </c>
      <c r="AP68" s="128">
        <f t="shared" si="62"/>
        <v>0</v>
      </c>
      <c r="AQ68" s="128">
        <f t="shared" si="63"/>
        <v>0</v>
      </c>
      <c r="AR68" s="128">
        <f t="shared" si="64"/>
        <v>0</v>
      </c>
      <c r="AS68" s="130">
        <f t="shared" si="65"/>
        <v>0</v>
      </c>
      <c r="AT68" s="130">
        <f t="shared" si="66"/>
        <v>0</v>
      </c>
      <c r="AU68" s="128"/>
      <c r="AV68" s="128"/>
      <c r="AW68" s="130">
        <f t="shared" si="95"/>
        <v>0</v>
      </c>
      <c r="AX68" s="130">
        <f t="shared" si="67"/>
        <v>0</v>
      </c>
      <c r="AY68" s="130">
        <f t="shared" si="68"/>
        <v>0</v>
      </c>
      <c r="AZ68" s="130">
        <f t="shared" si="69"/>
        <v>0</v>
      </c>
      <c r="BA68" s="130">
        <f t="shared" si="70"/>
        <v>0</v>
      </c>
      <c r="BB68" s="128">
        <f t="shared" si="96"/>
        <v>0</v>
      </c>
      <c r="BC68" s="128">
        <f t="shared" si="71"/>
        <v>0</v>
      </c>
      <c r="BD68" s="129">
        <v>0</v>
      </c>
      <c r="BE68" s="128">
        <f t="shared" si="97"/>
        <v>0</v>
      </c>
      <c r="BF68" s="129">
        <f t="shared" si="72"/>
        <v>0</v>
      </c>
      <c r="BG68" s="128">
        <f t="shared" si="49"/>
        <v>0</v>
      </c>
      <c r="BH68" s="128">
        <f t="shared" si="73"/>
        <v>0</v>
      </c>
      <c r="BI68" s="128">
        <f t="shared" si="74"/>
        <v>0</v>
      </c>
      <c r="BJ68" s="128">
        <f t="shared" si="75"/>
        <v>0</v>
      </c>
      <c r="BK68" s="130">
        <f t="shared" si="98"/>
        <v>0</v>
      </c>
      <c r="BL68" s="130">
        <f t="shared" si="99"/>
        <v>0</v>
      </c>
      <c r="BM68" s="128"/>
      <c r="BN68" s="128"/>
      <c r="BO68" s="130">
        <f t="shared" si="100"/>
        <v>0</v>
      </c>
      <c r="BP68" s="124">
        <f t="shared" si="76"/>
        <v>0</v>
      </c>
      <c r="BQ68" s="124">
        <f t="shared" si="77"/>
        <v>1</v>
      </c>
      <c r="BR68" s="124">
        <f t="shared" si="78"/>
        <v>0</v>
      </c>
      <c r="BS68" s="124">
        <f t="shared" si="79"/>
        <v>0</v>
      </c>
      <c r="BT68" s="124">
        <f t="shared" si="50"/>
        <v>0</v>
      </c>
      <c r="BU68" s="124">
        <f t="shared" si="101"/>
        <v>1</v>
      </c>
      <c r="BV68" s="110">
        <f t="shared" si="80"/>
        <v>0</v>
      </c>
      <c r="BW68" s="131">
        <f t="shared" si="102"/>
        <v>1</v>
      </c>
      <c r="BX68" s="110">
        <f t="shared" si="52"/>
        <v>0</v>
      </c>
      <c r="BY68" s="110">
        <f t="shared" si="53"/>
        <v>0</v>
      </c>
      <c r="BZ68" s="99" t="str">
        <f t="shared" si="81"/>
        <v/>
      </c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Z68" s="99"/>
    </row>
    <row r="69" spans="1:104" s="126" customFormat="1" ht="18.75">
      <c r="A69" s="179">
        <v>2202</v>
      </c>
      <c r="B69" s="179">
        <v>43</v>
      </c>
      <c r="C69" s="180" t="str">
        <f>IF(ISNA(VLOOKUP(B69,Master!AQ$59:BC$106,3,FALSE)),"",VLOOKUP(B69,Master!AQ$59:BC$106,3,FALSE))</f>
        <v/>
      </c>
      <c r="D69" s="181" t="str">
        <f>IF(ISNA(VLOOKUP(B69,Master!AQ$59:BC$106,7,FALSE)),"",VLOOKUP(B69,Master!AQ$59:BC$106,7,FALSE))</f>
        <v/>
      </c>
      <c r="E69" s="182" t="str">
        <f>IF(ISNA(VLOOKUP(B69,Master!AQ$59:BC$106,8,FALSE)),"",VLOOKUP(B69,Master!AQ$59:BC$106,8,FALSE))</f>
        <v/>
      </c>
      <c r="F69" s="183" t="str">
        <f>IF(ISNA(VLOOKUP(B69,Master!AQ$59:BC$106,4,FALSE)),"",VLOOKUP(B69,Master!AQ$59:BC$106,4,FALSE))</f>
        <v/>
      </c>
      <c r="G69" s="184" t="str">
        <f>IF(ISNA(VLOOKUP(B69,Master!AQ$59:BC$106,5,FALSE)),"",VLOOKUP(B69,Master!AQ$59:BC$106,5,FALSE))</f>
        <v/>
      </c>
      <c r="H69" s="185" t="str">
        <f>IF(ISNA(VLOOKUP(B69,Master!AQ$59:BC$106,6,FALSE)),"",VLOOKUP(B69,Master!AQ$59:BC$106,6,FALSE))</f>
        <v/>
      </c>
      <c r="I69" s="179" t="str">
        <f t="shared" si="82"/>
        <v/>
      </c>
      <c r="J69" s="181" t="str">
        <f t="shared" ca="1" si="83"/>
        <v/>
      </c>
      <c r="K69" s="179" t="str">
        <f t="shared" si="84"/>
        <v/>
      </c>
      <c r="L69" s="179" t="str">
        <f t="shared" si="85"/>
        <v/>
      </c>
      <c r="M69" s="179" t="str">
        <f t="shared" si="86"/>
        <v/>
      </c>
      <c r="N69" s="268" t="str">
        <f>IF(ISNA(VLOOKUP(B69,Master!AQ$59:BC$106,12,FALSE)),"",VLOOKUP(B69,Master!AQ$59:BC$106,12,FALSE))</f>
        <v/>
      </c>
      <c r="O69" s="262"/>
      <c r="P69" s="262"/>
      <c r="Q69" s="262"/>
      <c r="R69" s="262">
        <f t="shared" si="87"/>
        <v>0</v>
      </c>
      <c r="S69" s="102">
        <f t="shared" si="103"/>
        <v>1</v>
      </c>
      <c r="T69" s="1" t="str">
        <f>IF(ISNA(VLOOKUP(B69,Master!AQ$59:BC$106,10,FALSE)),"",VLOOKUP(B69,Master!AQ$59:BC$106,10,FALSE))</f>
        <v/>
      </c>
      <c r="U69" s="127"/>
      <c r="V69" s="127"/>
      <c r="W69" s="128" t="str">
        <f>IF(ISNA(VLOOKUP(B69,Master!AQ$59:BC$106,11,FALSE)),"",VLOOKUP(B69,Master!AQ$59:BC$106,11,FALSE))</f>
        <v/>
      </c>
      <c r="X69" s="128" t="str">
        <f>IF(ISNA(VLOOKUP(B69,Master!AQ$59:BC$106,9,FALSE)),"",VLOOKUP(B69,Master!AQ$59:BC$106,9,FALSE))</f>
        <v/>
      </c>
      <c r="Y69" s="129">
        <f t="shared" si="55"/>
        <v>0</v>
      </c>
      <c r="Z69" s="129">
        <f t="shared" si="56"/>
        <v>0</v>
      </c>
      <c r="AA69" s="129">
        <f t="shared" si="57"/>
        <v>0</v>
      </c>
      <c r="AB69" s="129">
        <f t="shared" si="58"/>
        <v>0</v>
      </c>
      <c r="AC69" s="129">
        <f t="shared" si="59"/>
        <v>0</v>
      </c>
      <c r="AD69" s="129">
        <f t="shared" si="60"/>
        <v>0</v>
      </c>
      <c r="AE69" s="130" t="str">
        <f t="shared" si="88"/>
        <v/>
      </c>
      <c r="AF69" s="130" t="str">
        <f t="shared" si="89"/>
        <v/>
      </c>
      <c r="AG69" s="130" t="str">
        <f t="shared" si="90"/>
        <v/>
      </c>
      <c r="AH69" s="130" t="str">
        <f t="shared" si="91"/>
        <v/>
      </c>
      <c r="AI69" s="130" t="str">
        <f t="shared" si="92"/>
        <v/>
      </c>
      <c r="AJ69" s="128" t="str">
        <f t="shared" si="93"/>
        <v/>
      </c>
      <c r="AK69" s="128">
        <v>0</v>
      </c>
      <c r="AL69" s="129">
        <v>0</v>
      </c>
      <c r="AM69" s="128" t="str">
        <f t="shared" si="94"/>
        <v/>
      </c>
      <c r="AN69" s="129">
        <f t="shared" si="61"/>
        <v>0</v>
      </c>
      <c r="AO69" s="128">
        <f t="shared" si="48"/>
        <v>0</v>
      </c>
      <c r="AP69" s="128">
        <f t="shared" si="62"/>
        <v>0</v>
      </c>
      <c r="AQ69" s="128">
        <f t="shared" si="63"/>
        <v>0</v>
      </c>
      <c r="AR69" s="128">
        <f t="shared" si="64"/>
        <v>0</v>
      </c>
      <c r="AS69" s="130">
        <f t="shared" si="65"/>
        <v>0</v>
      </c>
      <c r="AT69" s="130">
        <f t="shared" si="66"/>
        <v>0</v>
      </c>
      <c r="AU69" s="128"/>
      <c r="AV69" s="128"/>
      <c r="AW69" s="130">
        <f t="shared" si="95"/>
        <v>0</v>
      </c>
      <c r="AX69" s="130">
        <f t="shared" si="67"/>
        <v>0</v>
      </c>
      <c r="AY69" s="130">
        <f t="shared" si="68"/>
        <v>0</v>
      </c>
      <c r="AZ69" s="130">
        <f t="shared" si="69"/>
        <v>0</v>
      </c>
      <c r="BA69" s="130">
        <f t="shared" si="70"/>
        <v>0</v>
      </c>
      <c r="BB69" s="128">
        <f t="shared" si="96"/>
        <v>0</v>
      </c>
      <c r="BC69" s="128">
        <f t="shared" si="71"/>
        <v>0</v>
      </c>
      <c r="BD69" s="129">
        <v>0</v>
      </c>
      <c r="BE69" s="128">
        <f t="shared" si="97"/>
        <v>0</v>
      </c>
      <c r="BF69" s="129">
        <f t="shared" si="72"/>
        <v>0</v>
      </c>
      <c r="BG69" s="128">
        <f t="shared" si="49"/>
        <v>0</v>
      </c>
      <c r="BH69" s="128">
        <f t="shared" si="73"/>
        <v>0</v>
      </c>
      <c r="BI69" s="128">
        <f t="shared" si="74"/>
        <v>0</v>
      </c>
      <c r="BJ69" s="128">
        <f t="shared" si="75"/>
        <v>0</v>
      </c>
      <c r="BK69" s="130">
        <f t="shared" si="98"/>
        <v>0</v>
      </c>
      <c r="BL69" s="130">
        <f t="shared" si="99"/>
        <v>0</v>
      </c>
      <c r="BM69" s="128"/>
      <c r="BN69" s="128"/>
      <c r="BO69" s="130">
        <f t="shared" si="100"/>
        <v>0</v>
      </c>
      <c r="BP69" s="124">
        <f t="shared" si="76"/>
        <v>0</v>
      </c>
      <c r="BQ69" s="124">
        <f t="shared" si="77"/>
        <v>1</v>
      </c>
      <c r="BR69" s="124">
        <f t="shared" si="78"/>
        <v>0</v>
      </c>
      <c r="BS69" s="124">
        <f t="shared" si="79"/>
        <v>0</v>
      </c>
      <c r="BT69" s="124">
        <f t="shared" si="50"/>
        <v>0</v>
      </c>
      <c r="BU69" s="124">
        <f t="shared" si="101"/>
        <v>1</v>
      </c>
      <c r="BV69" s="110">
        <f t="shared" si="80"/>
        <v>0</v>
      </c>
      <c r="BW69" s="131">
        <f t="shared" si="102"/>
        <v>1</v>
      </c>
      <c r="BX69" s="110">
        <f t="shared" si="52"/>
        <v>0</v>
      </c>
      <c r="BY69" s="110">
        <f t="shared" si="53"/>
        <v>0</v>
      </c>
      <c r="BZ69" s="99" t="str">
        <f t="shared" si="81"/>
        <v/>
      </c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Z69" s="99"/>
    </row>
    <row r="70" spans="1:104" s="126" customFormat="1" ht="18.75">
      <c r="A70" s="179">
        <v>2202</v>
      </c>
      <c r="B70" s="179">
        <v>44</v>
      </c>
      <c r="C70" s="180" t="str">
        <f>IF(ISNA(VLOOKUP(B70,Master!AQ$59:BC$106,3,FALSE)),"",VLOOKUP(B70,Master!AQ$59:BC$106,3,FALSE))</f>
        <v/>
      </c>
      <c r="D70" s="181" t="str">
        <f>IF(ISNA(VLOOKUP(B70,Master!AQ$59:BC$106,7,FALSE)),"",VLOOKUP(B70,Master!AQ$59:BC$106,7,FALSE))</f>
        <v/>
      </c>
      <c r="E70" s="182" t="str">
        <f>IF(ISNA(VLOOKUP(B70,Master!AQ$59:BC$106,8,FALSE)),"",VLOOKUP(B70,Master!AQ$59:BC$106,8,FALSE))</f>
        <v/>
      </c>
      <c r="F70" s="183" t="str">
        <f>IF(ISNA(VLOOKUP(B70,Master!AQ$59:BC$106,4,FALSE)),"",VLOOKUP(B70,Master!AQ$59:BC$106,4,FALSE))</f>
        <v/>
      </c>
      <c r="G70" s="184" t="str">
        <f>IF(ISNA(VLOOKUP(B70,Master!AQ$59:BC$106,5,FALSE)),"",VLOOKUP(B70,Master!AQ$59:BC$106,5,FALSE))</f>
        <v/>
      </c>
      <c r="H70" s="185" t="str">
        <f>IF(ISNA(VLOOKUP(B70,Master!AQ$59:BC$106,6,FALSE)),"",VLOOKUP(B70,Master!AQ$59:BC$106,6,FALSE))</f>
        <v/>
      </c>
      <c r="I70" s="179" t="str">
        <f t="shared" si="82"/>
        <v/>
      </c>
      <c r="J70" s="181" t="str">
        <f t="shared" ca="1" si="83"/>
        <v/>
      </c>
      <c r="K70" s="179" t="str">
        <f t="shared" si="84"/>
        <v/>
      </c>
      <c r="L70" s="179" t="str">
        <f t="shared" si="85"/>
        <v/>
      </c>
      <c r="M70" s="179" t="str">
        <f t="shared" si="86"/>
        <v/>
      </c>
      <c r="N70" s="268" t="str">
        <f>IF(ISNA(VLOOKUP(B70,Master!AQ$59:BC$106,12,FALSE)),"",VLOOKUP(B70,Master!AQ$59:BC$106,12,FALSE))</f>
        <v/>
      </c>
      <c r="O70" s="262"/>
      <c r="P70" s="262"/>
      <c r="Q70" s="262"/>
      <c r="R70" s="262">
        <f t="shared" si="87"/>
        <v>0</v>
      </c>
      <c r="S70" s="102">
        <f t="shared" si="103"/>
        <v>1</v>
      </c>
      <c r="T70" s="1" t="str">
        <f>IF(ISNA(VLOOKUP(B70,Master!AQ$59:BC$106,10,FALSE)),"",VLOOKUP(B70,Master!AQ$59:BC$106,10,FALSE))</f>
        <v/>
      </c>
      <c r="U70" s="127"/>
      <c r="V70" s="127"/>
      <c r="W70" s="128" t="str">
        <f>IF(ISNA(VLOOKUP(B70,Master!AQ$59:BC$106,11,FALSE)),"",VLOOKUP(B70,Master!AQ$59:BC$106,11,FALSE))</f>
        <v/>
      </c>
      <c r="X70" s="128" t="str">
        <f>IF(ISNA(VLOOKUP(B70,Master!AQ$59:BC$106,9,FALSE)),"",VLOOKUP(B70,Master!AQ$59:BC$106,9,FALSE))</f>
        <v/>
      </c>
      <c r="Y70" s="129">
        <f t="shared" si="55"/>
        <v>0</v>
      </c>
      <c r="Z70" s="129">
        <f t="shared" si="56"/>
        <v>0</v>
      </c>
      <c r="AA70" s="129">
        <f t="shared" si="57"/>
        <v>0</v>
      </c>
      <c r="AB70" s="129">
        <f t="shared" si="58"/>
        <v>0</v>
      </c>
      <c r="AC70" s="129">
        <f t="shared" si="59"/>
        <v>0</v>
      </c>
      <c r="AD70" s="129">
        <f t="shared" si="60"/>
        <v>0</v>
      </c>
      <c r="AE70" s="130" t="str">
        <f>IF(AND(H70=""),"",H70-ROUNDUP(ROUND((H70*3%)-(H70*3%)*2.9%,-2),0))</f>
        <v/>
      </c>
      <c r="AF70" s="130" t="str">
        <f t="shared" si="89"/>
        <v/>
      </c>
      <c r="AG70" s="130" t="str">
        <f t="shared" si="90"/>
        <v/>
      </c>
      <c r="AH70" s="130" t="str">
        <f t="shared" si="91"/>
        <v/>
      </c>
      <c r="AI70" s="130" t="str">
        <f t="shared" si="92"/>
        <v/>
      </c>
      <c r="AJ70" s="128" t="str">
        <f t="shared" si="93"/>
        <v/>
      </c>
      <c r="AK70" s="128">
        <v>0</v>
      </c>
      <c r="AL70" s="129">
        <v>0</v>
      </c>
      <c r="AM70" s="128" t="str">
        <f t="shared" si="94"/>
        <v/>
      </c>
      <c r="AN70" s="129">
        <f t="shared" si="61"/>
        <v>0</v>
      </c>
      <c r="AO70" s="128">
        <f t="shared" si="48"/>
        <v>0</v>
      </c>
      <c r="AP70" s="128">
        <f t="shared" si="62"/>
        <v>0</v>
      </c>
      <c r="AQ70" s="128">
        <f t="shared" si="63"/>
        <v>0</v>
      </c>
      <c r="AR70" s="128">
        <f t="shared" si="64"/>
        <v>0</v>
      </c>
      <c r="AS70" s="130">
        <f t="shared" si="65"/>
        <v>0</v>
      </c>
      <c r="AT70" s="130">
        <f t="shared" si="66"/>
        <v>0</v>
      </c>
      <c r="AU70" s="128"/>
      <c r="AV70" s="128"/>
      <c r="AW70" s="130">
        <f t="shared" si="95"/>
        <v>0</v>
      </c>
      <c r="AX70" s="130">
        <f t="shared" si="67"/>
        <v>0</v>
      </c>
      <c r="AY70" s="130">
        <f t="shared" si="68"/>
        <v>0</v>
      </c>
      <c r="AZ70" s="130">
        <f t="shared" si="69"/>
        <v>0</v>
      </c>
      <c r="BA70" s="130">
        <f t="shared" si="70"/>
        <v>0</v>
      </c>
      <c r="BB70" s="128">
        <f t="shared" si="96"/>
        <v>0</v>
      </c>
      <c r="BC70" s="128">
        <f t="shared" si="71"/>
        <v>0</v>
      </c>
      <c r="BD70" s="129">
        <v>0</v>
      </c>
      <c r="BE70" s="128">
        <f t="shared" si="97"/>
        <v>0</v>
      </c>
      <c r="BF70" s="129">
        <f t="shared" si="72"/>
        <v>0</v>
      </c>
      <c r="BG70" s="128">
        <f t="shared" si="49"/>
        <v>0</v>
      </c>
      <c r="BH70" s="128">
        <f t="shared" si="73"/>
        <v>0</v>
      </c>
      <c r="BI70" s="128">
        <f t="shared" si="74"/>
        <v>0</v>
      </c>
      <c r="BJ70" s="128">
        <f t="shared" si="75"/>
        <v>0</v>
      </c>
      <c r="BK70" s="130">
        <f t="shared" si="98"/>
        <v>0</v>
      </c>
      <c r="BL70" s="130">
        <f t="shared" si="99"/>
        <v>0</v>
      </c>
      <c r="BM70" s="128"/>
      <c r="BN70" s="128"/>
      <c r="BO70" s="130">
        <f t="shared" si="100"/>
        <v>0</v>
      </c>
      <c r="BP70" s="124">
        <f t="shared" si="76"/>
        <v>0</v>
      </c>
      <c r="BQ70" s="124">
        <f t="shared" si="77"/>
        <v>1</v>
      </c>
      <c r="BR70" s="124">
        <f t="shared" si="78"/>
        <v>0</v>
      </c>
      <c r="BS70" s="124">
        <f t="shared" si="79"/>
        <v>0</v>
      </c>
      <c r="BT70" s="124">
        <f t="shared" si="50"/>
        <v>0</v>
      </c>
      <c r="BU70" s="124">
        <f t="shared" si="101"/>
        <v>1</v>
      </c>
      <c r="BV70" s="110">
        <f t="shared" si="80"/>
        <v>0</v>
      </c>
      <c r="BW70" s="131">
        <f t="shared" si="102"/>
        <v>1</v>
      </c>
      <c r="BX70" s="110">
        <f t="shared" si="52"/>
        <v>0</v>
      </c>
      <c r="BY70" s="110">
        <f t="shared" si="53"/>
        <v>0</v>
      </c>
      <c r="BZ70" s="99" t="str">
        <f t="shared" si="81"/>
        <v/>
      </c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Z70" s="99"/>
    </row>
    <row r="71" spans="1:104" s="126" customFormat="1">
      <c r="A71" s="190"/>
      <c r="B71" s="191"/>
      <c r="C71" s="191"/>
      <c r="D71" s="192"/>
      <c r="E71" s="192"/>
      <c r="F71" s="193" t="s">
        <v>219</v>
      </c>
      <c r="G71" s="188"/>
      <c r="H71" s="189"/>
      <c r="I71" s="189">
        <f>SUM(I27:I70)</f>
        <v>4838400</v>
      </c>
      <c r="J71" s="189"/>
      <c r="K71" s="189">
        <f t="shared" ref="K71:M71" si="104">SUM(K27:K70)</f>
        <v>96800</v>
      </c>
      <c r="L71" s="189">
        <f t="shared" si="104"/>
        <v>4935200</v>
      </c>
      <c r="M71" s="189">
        <f t="shared" si="104"/>
        <v>4792000</v>
      </c>
      <c r="N71" s="194"/>
      <c r="O71" s="264"/>
      <c r="P71" s="264"/>
      <c r="Q71" s="264"/>
      <c r="R71" s="264"/>
      <c r="S71" s="102"/>
      <c r="T71" s="1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30"/>
      <c r="AF71" s="125"/>
      <c r="AG71" s="125"/>
      <c r="AH71" s="125"/>
      <c r="AI71" s="125"/>
      <c r="AJ71" s="125"/>
      <c r="AK71" s="125"/>
      <c r="AL71" s="125"/>
      <c r="AM71" s="125"/>
      <c r="AN71" s="125"/>
      <c r="AO71" s="128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8"/>
      <c r="BH71" s="125"/>
      <c r="BI71" s="128"/>
      <c r="BJ71" s="125"/>
      <c r="BK71" s="125"/>
      <c r="BL71" s="125"/>
      <c r="BM71" s="125"/>
      <c r="BN71" s="125"/>
      <c r="BO71" s="125"/>
      <c r="BP71" s="124"/>
      <c r="BQ71" s="124"/>
      <c r="BR71" s="124"/>
      <c r="BS71" s="124"/>
      <c r="BT71" s="124"/>
      <c r="BU71" s="124"/>
      <c r="BV71" s="110"/>
      <c r="BW71" s="110" t="str">
        <f t="shared" ref="BW71:BW84" si="105">MID(D71,5,4)</f>
        <v/>
      </c>
      <c r="BX71" s="110"/>
      <c r="BY71" s="110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</row>
    <row r="72" spans="1:104" s="126" customFormat="1">
      <c r="A72" s="190"/>
      <c r="B72" s="191"/>
      <c r="C72" s="191"/>
      <c r="D72" s="192"/>
      <c r="E72" s="192"/>
      <c r="F72" s="193" t="s">
        <v>220</v>
      </c>
      <c r="G72" s="189"/>
      <c r="H72" s="189"/>
      <c r="I72" s="189">
        <f>I26+I71</f>
        <v>7892400</v>
      </c>
      <c r="J72" s="189"/>
      <c r="K72" s="189">
        <f t="shared" ref="K72:M72" si="106">K26+K71</f>
        <v>158400</v>
      </c>
      <c r="L72" s="189">
        <f t="shared" si="106"/>
        <v>8050800</v>
      </c>
      <c r="M72" s="189">
        <f t="shared" si="106"/>
        <v>7816400</v>
      </c>
      <c r="N72" s="195"/>
      <c r="O72" s="265"/>
      <c r="P72" s="265"/>
      <c r="Q72" s="265"/>
      <c r="R72" s="265"/>
      <c r="S72" s="102"/>
      <c r="T72" s="1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30"/>
      <c r="AF72" s="125"/>
      <c r="AG72" s="125"/>
      <c r="AH72" s="125"/>
      <c r="AI72" s="125"/>
      <c r="AJ72" s="125"/>
      <c r="AK72" s="125"/>
      <c r="AL72" s="125"/>
      <c r="AM72" s="125"/>
      <c r="AN72" s="125"/>
      <c r="AO72" s="128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8"/>
      <c r="BH72" s="125"/>
      <c r="BI72" s="128"/>
      <c r="BJ72" s="125"/>
      <c r="BK72" s="125"/>
      <c r="BL72" s="125"/>
      <c r="BM72" s="125"/>
      <c r="BN72" s="125"/>
      <c r="BO72" s="125"/>
      <c r="BP72" s="124"/>
      <c r="BQ72" s="124"/>
      <c r="BR72" s="124"/>
      <c r="BS72" s="124"/>
      <c r="BT72" s="124"/>
      <c r="BU72" s="124"/>
      <c r="BV72" s="110"/>
      <c r="BW72" s="110" t="str">
        <f t="shared" si="105"/>
        <v/>
      </c>
      <c r="BX72" s="110"/>
      <c r="BY72" s="110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</row>
    <row r="73" spans="1:104" s="126" customFormat="1">
      <c r="A73" s="190"/>
      <c r="B73" s="191"/>
      <c r="C73" s="191"/>
      <c r="D73" s="192"/>
      <c r="E73" s="192"/>
      <c r="F73" s="193" t="s">
        <v>221</v>
      </c>
      <c r="G73" s="189"/>
      <c r="H73" s="189"/>
      <c r="I73" s="270">
        <f>I72</f>
        <v>7892400</v>
      </c>
      <c r="J73" s="270"/>
      <c r="K73" s="270">
        <f>K72</f>
        <v>158400</v>
      </c>
      <c r="L73" s="270">
        <f>L72</f>
        <v>8050800</v>
      </c>
      <c r="M73" s="270">
        <f>M72</f>
        <v>7816400</v>
      </c>
      <c r="N73" s="195"/>
      <c r="O73" s="265"/>
      <c r="P73" s="265"/>
      <c r="Q73" s="265"/>
      <c r="R73" s="265"/>
      <c r="S73" s="102"/>
      <c r="T73" s="1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30"/>
      <c r="AF73" s="125"/>
      <c r="AG73" s="125"/>
      <c r="AH73" s="125"/>
      <c r="AI73" s="125"/>
      <c r="AJ73" s="125"/>
      <c r="AK73" s="125"/>
      <c r="AL73" s="125"/>
      <c r="AM73" s="125"/>
      <c r="AN73" s="125"/>
      <c r="AO73" s="128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125"/>
      <c r="BG73" s="128"/>
      <c r="BH73" s="125"/>
      <c r="BI73" s="128"/>
      <c r="BJ73" s="125"/>
      <c r="BK73" s="125"/>
      <c r="BL73" s="125"/>
      <c r="BM73" s="125"/>
      <c r="BN73" s="125"/>
      <c r="BO73" s="125"/>
      <c r="BP73" s="124"/>
      <c r="BQ73" s="124"/>
      <c r="BR73" s="124"/>
      <c r="BS73" s="124"/>
      <c r="BT73" s="124"/>
      <c r="BU73" s="124"/>
      <c r="BV73" s="110"/>
      <c r="BW73" s="110" t="str">
        <f t="shared" si="105"/>
        <v/>
      </c>
      <c r="BX73" s="110"/>
      <c r="BY73" s="110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</row>
    <row r="74" spans="1:104" s="126" customFormat="1">
      <c r="A74" s="196"/>
      <c r="B74" s="197"/>
      <c r="C74" s="198"/>
      <c r="D74" s="199"/>
      <c r="E74" s="200"/>
      <c r="F74" s="201">
        <v>0.12</v>
      </c>
      <c r="G74" s="202"/>
      <c r="H74" s="203"/>
      <c r="I74" s="203"/>
      <c r="J74" s="181"/>
      <c r="K74" s="203"/>
      <c r="L74" s="204">
        <f>ROUND(L72*F74,0)</f>
        <v>966096</v>
      </c>
      <c r="M74" s="204">
        <f>ROUND(M72*F74,0)</f>
        <v>937968</v>
      </c>
      <c r="N74" s="203"/>
      <c r="O74" s="266"/>
      <c r="P74" s="266"/>
      <c r="Q74" s="266"/>
      <c r="R74" s="266">
        <v>0</v>
      </c>
      <c r="S74" s="102"/>
      <c r="T74" s="1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30"/>
      <c r="AF74" s="125"/>
      <c r="AG74" s="125"/>
      <c r="AH74" s="125"/>
      <c r="AI74" s="125"/>
      <c r="AJ74" s="125"/>
      <c r="AK74" s="125"/>
      <c r="AL74" s="125"/>
      <c r="AM74" s="125"/>
      <c r="AN74" s="125"/>
      <c r="AO74" s="128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8"/>
      <c r="BH74" s="125"/>
      <c r="BI74" s="128"/>
      <c r="BJ74" s="125"/>
      <c r="BK74" s="125"/>
      <c r="BL74" s="125"/>
      <c r="BM74" s="125"/>
      <c r="BN74" s="125"/>
      <c r="BO74" s="125"/>
      <c r="BP74" s="124"/>
      <c r="BQ74" s="124"/>
      <c r="BR74" s="124"/>
      <c r="BS74" s="124"/>
      <c r="BT74" s="124"/>
      <c r="BU74" s="124"/>
      <c r="BV74" s="110"/>
      <c r="BW74" s="110" t="str">
        <f t="shared" si="105"/>
        <v/>
      </c>
      <c r="BX74" s="110"/>
      <c r="BY74" s="110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</row>
    <row r="75" spans="1:104" s="126" customFormat="1">
      <c r="A75" s="196"/>
      <c r="B75" s="197"/>
      <c r="C75" s="198"/>
      <c r="D75" s="617">
        <v>0.03</v>
      </c>
      <c r="E75" s="617"/>
      <c r="F75" s="618"/>
      <c r="G75" s="202"/>
      <c r="H75" s="203"/>
      <c r="I75" s="203"/>
      <c r="J75" s="181"/>
      <c r="K75" s="203"/>
      <c r="L75" s="204">
        <f>ROUND(L72*D75,0)</f>
        <v>241524</v>
      </c>
      <c r="M75" s="204">
        <f>ROUND(M72*D75,0)</f>
        <v>234492</v>
      </c>
      <c r="N75" s="203"/>
      <c r="O75" s="266"/>
      <c r="P75" s="266"/>
      <c r="Q75" s="266"/>
      <c r="R75" s="266">
        <v>0</v>
      </c>
      <c r="S75" s="102"/>
      <c r="T75" s="1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30"/>
      <c r="AF75" s="125"/>
      <c r="AG75" s="125"/>
      <c r="AH75" s="125"/>
      <c r="AI75" s="125"/>
      <c r="AJ75" s="125"/>
      <c r="AK75" s="125"/>
      <c r="AL75" s="125"/>
      <c r="AM75" s="125"/>
      <c r="AN75" s="125"/>
      <c r="AO75" s="128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8"/>
      <c r="BH75" s="125"/>
      <c r="BI75" s="128"/>
      <c r="BJ75" s="125"/>
      <c r="BK75" s="125"/>
      <c r="BL75" s="125"/>
      <c r="BM75" s="125"/>
      <c r="BN75" s="125"/>
      <c r="BO75" s="125"/>
      <c r="BP75" s="124"/>
      <c r="BQ75" s="124"/>
      <c r="BR75" s="124"/>
      <c r="BS75" s="124"/>
      <c r="BT75" s="124"/>
      <c r="BU75" s="124"/>
      <c r="BV75" s="110"/>
      <c r="BW75" s="110" t="str">
        <f t="shared" si="105"/>
        <v/>
      </c>
      <c r="BX75" s="110"/>
      <c r="BY75" s="110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</row>
    <row r="76" spans="1:104" s="126" customFormat="1">
      <c r="A76" s="196"/>
      <c r="B76" s="197"/>
      <c r="C76" s="198"/>
      <c r="D76" s="199"/>
      <c r="E76" s="197"/>
      <c r="F76" s="205" t="s">
        <v>222</v>
      </c>
      <c r="G76" s="202"/>
      <c r="H76" s="203"/>
      <c r="I76" s="203"/>
      <c r="J76" s="181"/>
      <c r="K76" s="203"/>
      <c r="L76" s="206">
        <v>0</v>
      </c>
      <c r="M76" s="206">
        <v>0</v>
      </c>
      <c r="N76" s="203"/>
      <c r="O76" s="266"/>
      <c r="P76" s="266"/>
      <c r="Q76" s="266"/>
      <c r="R76" s="266">
        <v>0</v>
      </c>
      <c r="S76" s="102"/>
      <c r="T76" s="1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30"/>
      <c r="AF76" s="125"/>
      <c r="AG76" s="125"/>
      <c r="AH76" s="125"/>
      <c r="AI76" s="125"/>
      <c r="AJ76" s="125"/>
      <c r="AK76" s="125"/>
      <c r="AL76" s="125"/>
      <c r="AM76" s="125"/>
      <c r="AN76" s="125"/>
      <c r="AO76" s="128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  <c r="BD76" s="125"/>
      <c r="BE76" s="125"/>
      <c r="BF76" s="125"/>
      <c r="BG76" s="128"/>
      <c r="BH76" s="125"/>
      <c r="BI76" s="128"/>
      <c r="BJ76" s="125"/>
      <c r="BK76" s="125"/>
      <c r="BL76" s="125"/>
      <c r="BM76" s="125"/>
      <c r="BN76" s="125"/>
      <c r="BO76" s="125"/>
      <c r="BP76" s="124"/>
      <c r="BQ76" s="124"/>
      <c r="BR76" s="124"/>
      <c r="BS76" s="124"/>
      <c r="BT76" s="124"/>
      <c r="BU76" s="124"/>
      <c r="BV76" s="110"/>
      <c r="BW76" s="110" t="str">
        <f t="shared" si="105"/>
        <v/>
      </c>
      <c r="BX76" s="110"/>
      <c r="BY76" s="110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</row>
    <row r="77" spans="1:104" s="126" customFormat="1">
      <c r="A77" s="196"/>
      <c r="B77" s="197"/>
      <c r="C77" s="198"/>
      <c r="D77" s="199"/>
      <c r="E77" s="207"/>
      <c r="F77" s="208">
        <v>0.08</v>
      </c>
      <c r="G77" s="202"/>
      <c r="H77" s="203"/>
      <c r="I77" s="203"/>
      <c r="J77" s="181"/>
      <c r="K77" s="203"/>
      <c r="L77" s="204">
        <f>ROUND(L72*F77,0)</f>
        <v>644064</v>
      </c>
      <c r="M77" s="204">
        <f>ROUND(M72*F77,0)</f>
        <v>625312</v>
      </c>
      <c r="N77" s="203"/>
      <c r="O77" s="266"/>
      <c r="P77" s="266"/>
      <c r="Q77" s="266"/>
      <c r="R77" s="266">
        <v>0</v>
      </c>
      <c r="S77" s="102"/>
      <c r="T77" s="1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30"/>
      <c r="AF77" s="125"/>
      <c r="AG77" s="125"/>
      <c r="AH77" s="125"/>
      <c r="AI77" s="125"/>
      <c r="AJ77" s="125"/>
      <c r="AK77" s="125"/>
      <c r="AL77" s="125"/>
      <c r="AM77" s="125"/>
      <c r="AN77" s="125"/>
      <c r="AO77" s="128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  <c r="AZ77" s="125"/>
      <c r="BA77" s="125"/>
      <c r="BB77" s="125"/>
      <c r="BC77" s="125"/>
      <c r="BD77" s="125"/>
      <c r="BE77" s="125"/>
      <c r="BF77" s="125"/>
      <c r="BG77" s="128"/>
      <c r="BH77" s="125"/>
      <c r="BI77" s="128"/>
      <c r="BJ77" s="125"/>
      <c r="BK77" s="125"/>
      <c r="BL77" s="125"/>
      <c r="BM77" s="125"/>
      <c r="BN77" s="125"/>
      <c r="BO77" s="125"/>
      <c r="BP77" s="124"/>
      <c r="BQ77" s="124"/>
      <c r="BR77" s="124"/>
      <c r="BS77" s="124"/>
      <c r="BT77" s="124"/>
      <c r="BU77" s="124"/>
      <c r="BV77" s="110"/>
      <c r="BW77" s="110" t="str">
        <f t="shared" si="105"/>
        <v/>
      </c>
      <c r="BX77" s="110"/>
      <c r="BY77" s="110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</row>
    <row r="78" spans="1:104" s="126" customFormat="1">
      <c r="A78" s="196"/>
      <c r="B78" s="197"/>
      <c r="C78" s="198"/>
      <c r="D78" s="199"/>
      <c r="E78" s="209"/>
      <c r="F78" s="210">
        <v>6774</v>
      </c>
      <c r="G78" s="202"/>
      <c r="H78" s="203"/>
      <c r="I78" s="203"/>
      <c r="J78" s="181"/>
      <c r="K78" s="203"/>
      <c r="L78" s="204">
        <f>R122</f>
        <v>54192</v>
      </c>
      <c r="M78" s="204">
        <f>R122</f>
        <v>54192</v>
      </c>
      <c r="N78" s="203"/>
      <c r="O78" s="266"/>
      <c r="P78" s="266"/>
      <c r="Q78" s="266"/>
      <c r="R78" s="266">
        <v>0</v>
      </c>
      <c r="S78" s="102"/>
      <c r="T78" s="1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30"/>
      <c r="AF78" s="125"/>
      <c r="AG78" s="125"/>
      <c r="AH78" s="125"/>
      <c r="AI78" s="125"/>
      <c r="AJ78" s="125"/>
      <c r="AK78" s="125"/>
      <c r="AL78" s="125"/>
      <c r="AM78" s="125"/>
      <c r="AN78" s="125"/>
      <c r="AO78" s="128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8"/>
      <c r="BH78" s="125"/>
      <c r="BI78" s="128"/>
      <c r="BJ78" s="125"/>
      <c r="BK78" s="125"/>
      <c r="BL78" s="125"/>
      <c r="BM78" s="125"/>
      <c r="BN78" s="125"/>
      <c r="BO78" s="125"/>
      <c r="BP78" s="124"/>
      <c r="BQ78" s="124"/>
      <c r="BR78" s="124"/>
      <c r="BS78" s="124"/>
      <c r="BT78" s="124"/>
      <c r="BU78" s="124"/>
      <c r="BV78" s="110"/>
      <c r="BW78" s="110" t="str">
        <f t="shared" si="105"/>
        <v/>
      </c>
      <c r="BX78" s="110"/>
      <c r="BY78" s="110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99"/>
      <c r="CK78" s="99"/>
      <c r="CL78" s="99"/>
      <c r="CM78" s="99"/>
      <c r="CN78" s="99"/>
      <c r="CO78" s="99"/>
      <c r="CP78" s="99"/>
      <c r="CQ78" s="99"/>
      <c r="CR78" s="99"/>
      <c r="CS78" s="99"/>
      <c r="CT78" s="99"/>
      <c r="CU78" s="99"/>
      <c r="CV78" s="99"/>
      <c r="CW78" s="99"/>
      <c r="CX78" s="99"/>
    </row>
    <row r="79" spans="1:104" s="126" customFormat="1">
      <c r="A79" s="196"/>
      <c r="B79" s="197"/>
      <c r="C79" s="198"/>
      <c r="D79" s="199"/>
      <c r="E79" s="197"/>
      <c r="F79" s="205" t="s">
        <v>223</v>
      </c>
      <c r="G79" s="202"/>
      <c r="H79" s="203"/>
      <c r="I79" s="203"/>
      <c r="J79" s="204"/>
      <c r="K79" s="204"/>
      <c r="L79" s="204">
        <f>$AO$122</f>
        <v>368312</v>
      </c>
      <c r="M79" s="204">
        <f>$BG$122</f>
        <v>357672</v>
      </c>
      <c r="N79" s="203"/>
      <c r="O79" s="266"/>
      <c r="P79" s="266"/>
      <c r="Q79" s="266"/>
      <c r="R79" s="266">
        <v>0</v>
      </c>
      <c r="S79" s="102"/>
      <c r="T79" s="1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30"/>
      <c r="AF79" s="125"/>
      <c r="AG79" s="125"/>
      <c r="AH79" s="125"/>
      <c r="AI79" s="125"/>
      <c r="AJ79" s="125"/>
      <c r="AK79" s="125"/>
      <c r="AL79" s="125"/>
      <c r="AM79" s="125"/>
      <c r="AN79" s="125"/>
      <c r="AO79" s="128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125"/>
      <c r="BG79" s="128"/>
      <c r="BH79" s="125"/>
      <c r="BI79" s="128"/>
      <c r="BJ79" s="125"/>
      <c r="BK79" s="125"/>
      <c r="BL79" s="125"/>
      <c r="BM79" s="125"/>
      <c r="BN79" s="125"/>
      <c r="BO79" s="125"/>
      <c r="BP79" s="124"/>
      <c r="BQ79" s="124"/>
      <c r="BR79" s="124"/>
      <c r="BS79" s="124"/>
      <c r="BT79" s="124"/>
      <c r="BU79" s="124"/>
      <c r="BV79" s="110"/>
      <c r="BW79" s="110" t="str">
        <f t="shared" si="105"/>
        <v/>
      </c>
      <c r="BX79" s="110"/>
      <c r="BY79" s="110"/>
      <c r="BZ79" s="99"/>
      <c r="CA79" s="99"/>
      <c r="CB79" s="99"/>
      <c r="CC79" s="99"/>
      <c r="CD79" s="99"/>
      <c r="CE79" s="99"/>
      <c r="CF79" s="99"/>
      <c r="CG79" s="99"/>
      <c r="CH79" s="99"/>
      <c r="CI79" s="99"/>
      <c r="CJ79" s="99"/>
      <c r="CK79" s="99"/>
      <c r="CL79" s="99"/>
      <c r="CM79" s="99"/>
      <c r="CN79" s="99"/>
      <c r="CO79" s="99"/>
      <c r="CP79" s="99"/>
      <c r="CQ79" s="99"/>
      <c r="CR79" s="99"/>
      <c r="CS79" s="99"/>
      <c r="CT79" s="99"/>
      <c r="CU79" s="99"/>
      <c r="CV79" s="99"/>
      <c r="CW79" s="99"/>
      <c r="CX79" s="99"/>
    </row>
    <row r="80" spans="1:104" s="126" customFormat="1">
      <c r="A80" s="196"/>
      <c r="B80" s="197"/>
      <c r="C80" s="198"/>
      <c r="D80" s="199"/>
      <c r="E80" s="197"/>
      <c r="F80" s="205" t="s">
        <v>224</v>
      </c>
      <c r="G80" s="202"/>
      <c r="H80" s="203"/>
      <c r="I80" s="203"/>
      <c r="J80" s="181"/>
      <c r="K80" s="185"/>
      <c r="L80" s="204">
        <f>MINA($AP$122,900)</f>
        <v>0</v>
      </c>
      <c r="M80" s="204">
        <f>MINA($BH$122,900)</f>
        <v>0</v>
      </c>
      <c r="N80" s="203"/>
      <c r="O80" s="266"/>
      <c r="P80" s="266"/>
      <c r="Q80" s="266"/>
      <c r="R80" s="266">
        <v>0</v>
      </c>
      <c r="S80" s="102"/>
      <c r="T80" s="1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30"/>
      <c r="AF80" s="125"/>
      <c r="AG80" s="125"/>
      <c r="AH80" s="125"/>
      <c r="AI80" s="125"/>
      <c r="AJ80" s="125"/>
      <c r="AK80" s="125"/>
      <c r="AL80" s="125"/>
      <c r="AM80" s="125"/>
      <c r="AN80" s="125"/>
      <c r="AO80" s="128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128"/>
      <c r="BH80" s="125"/>
      <c r="BI80" s="128"/>
      <c r="BJ80" s="125"/>
      <c r="BK80" s="125"/>
      <c r="BL80" s="125"/>
      <c r="BM80" s="125"/>
      <c r="BN80" s="125"/>
      <c r="BO80" s="125"/>
      <c r="BP80" s="124"/>
      <c r="BQ80" s="124"/>
      <c r="BR80" s="124"/>
      <c r="BS80" s="124"/>
      <c r="BT80" s="124"/>
      <c r="BU80" s="124"/>
      <c r="BV80" s="110"/>
      <c r="BW80" s="110" t="str">
        <f t="shared" si="105"/>
        <v/>
      </c>
      <c r="BX80" s="110"/>
      <c r="BY80" s="110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</row>
    <row r="81" spans="1:102" s="126" customFormat="1">
      <c r="A81" s="196"/>
      <c r="B81" s="197"/>
      <c r="C81" s="198"/>
      <c r="D81" s="199"/>
      <c r="E81" s="197"/>
      <c r="F81" s="205" t="s">
        <v>225</v>
      </c>
      <c r="G81" s="202"/>
      <c r="H81" s="203"/>
      <c r="I81" s="203"/>
      <c r="J81" s="181"/>
      <c r="K81" s="203"/>
      <c r="L81" s="204">
        <f>$AQ$122</f>
        <v>0</v>
      </c>
      <c r="M81" s="204">
        <f>$BI$122</f>
        <v>0</v>
      </c>
      <c r="N81" s="203"/>
      <c r="O81" s="266"/>
      <c r="P81" s="266"/>
      <c r="Q81" s="266"/>
      <c r="R81" s="266">
        <v>0</v>
      </c>
      <c r="S81" s="102"/>
      <c r="T81" s="1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30"/>
      <c r="AF81" s="125"/>
      <c r="AG81" s="125"/>
      <c r="AH81" s="125"/>
      <c r="AI81" s="125"/>
      <c r="AJ81" s="125"/>
      <c r="AK81" s="125"/>
      <c r="AL81" s="125"/>
      <c r="AM81" s="125"/>
      <c r="AN81" s="125"/>
      <c r="AO81" s="128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8"/>
      <c r="BH81" s="125"/>
      <c r="BI81" s="128"/>
      <c r="BJ81" s="125"/>
      <c r="BK81" s="125"/>
      <c r="BL81" s="125"/>
      <c r="BM81" s="125"/>
      <c r="BN81" s="125"/>
      <c r="BO81" s="125"/>
      <c r="BP81" s="124"/>
      <c r="BQ81" s="124"/>
      <c r="BR81" s="124"/>
      <c r="BS81" s="124"/>
      <c r="BT81" s="124"/>
      <c r="BU81" s="124"/>
      <c r="BV81" s="110"/>
      <c r="BW81" s="110" t="str">
        <f t="shared" si="105"/>
        <v/>
      </c>
      <c r="BX81" s="110"/>
      <c r="BY81" s="110"/>
      <c r="BZ81" s="99"/>
      <c r="CA81" s="99"/>
      <c r="CB81" s="99"/>
      <c r="CC81" s="99"/>
      <c r="CD81" s="99"/>
      <c r="CE81" s="99"/>
      <c r="CF81" s="99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99"/>
      <c r="CW81" s="99"/>
      <c r="CX81" s="99"/>
    </row>
    <row r="82" spans="1:102" s="126" customFormat="1">
      <c r="A82" s="196"/>
      <c r="B82" s="197"/>
      <c r="C82" s="198"/>
      <c r="D82" s="199"/>
      <c r="E82" s="197"/>
      <c r="F82" s="205" t="s">
        <v>226</v>
      </c>
      <c r="G82" s="202"/>
      <c r="H82" s="203"/>
      <c r="I82" s="203"/>
      <c r="J82" s="181"/>
      <c r="K82" s="203"/>
      <c r="L82" s="204">
        <f>$AR$122</f>
        <v>0</v>
      </c>
      <c r="M82" s="204">
        <f>$BJ$122</f>
        <v>0</v>
      </c>
      <c r="N82" s="203"/>
      <c r="O82" s="266"/>
      <c r="P82" s="266"/>
      <c r="Q82" s="266"/>
      <c r="R82" s="266">
        <v>0</v>
      </c>
      <c r="S82" s="102"/>
      <c r="T82" s="1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30"/>
      <c r="AF82" s="125"/>
      <c r="AG82" s="125"/>
      <c r="AH82" s="125"/>
      <c r="AI82" s="125"/>
      <c r="AJ82" s="125"/>
      <c r="AK82" s="125"/>
      <c r="AL82" s="125"/>
      <c r="AM82" s="125"/>
      <c r="AN82" s="125"/>
      <c r="AO82" s="128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8"/>
      <c r="BH82" s="125"/>
      <c r="BI82" s="128"/>
      <c r="BJ82" s="125"/>
      <c r="BK82" s="125"/>
      <c r="BL82" s="125"/>
      <c r="BM82" s="125"/>
      <c r="BN82" s="125"/>
      <c r="BO82" s="125"/>
      <c r="BP82" s="124"/>
      <c r="BQ82" s="124"/>
      <c r="BR82" s="124"/>
      <c r="BS82" s="124"/>
      <c r="BT82" s="124"/>
      <c r="BU82" s="124"/>
      <c r="BV82" s="110"/>
      <c r="BW82" s="110" t="str">
        <f t="shared" si="105"/>
        <v/>
      </c>
      <c r="BX82" s="110"/>
      <c r="BY82" s="110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</row>
    <row r="83" spans="1:102" s="126" customFormat="1" ht="15.75">
      <c r="A83" s="604"/>
      <c r="B83" s="605"/>
      <c r="C83" s="605" t="s">
        <v>227</v>
      </c>
      <c r="D83" s="605"/>
      <c r="E83" s="191"/>
      <c r="F83" s="187" t="s">
        <v>228</v>
      </c>
      <c r="G83" s="189"/>
      <c r="H83" s="189"/>
      <c r="I83" s="271">
        <f>SUM(I73:I82)</f>
        <v>7892400</v>
      </c>
      <c r="J83" s="271"/>
      <c r="K83" s="271">
        <f t="shared" ref="K83:M83" si="107">SUM(K73:K82)</f>
        <v>158400</v>
      </c>
      <c r="L83" s="271">
        <f t="shared" si="107"/>
        <v>10324988</v>
      </c>
      <c r="M83" s="271">
        <f t="shared" si="107"/>
        <v>10026036</v>
      </c>
      <c r="N83" s="195"/>
      <c r="O83" s="265"/>
      <c r="P83" s="265"/>
      <c r="Q83" s="265"/>
      <c r="R83" s="265"/>
      <c r="S83" s="102"/>
      <c r="T83" s="1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30"/>
      <c r="AF83" s="125"/>
      <c r="AG83" s="125"/>
      <c r="AH83" s="125"/>
      <c r="AI83" s="125"/>
      <c r="AJ83" s="125"/>
      <c r="AK83" s="125"/>
      <c r="AL83" s="125"/>
      <c r="AM83" s="125"/>
      <c r="AN83" s="125"/>
      <c r="AO83" s="128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8"/>
      <c r="BH83" s="125"/>
      <c r="BI83" s="128"/>
      <c r="BJ83" s="125"/>
      <c r="BK83" s="125"/>
      <c r="BL83" s="125"/>
      <c r="BM83" s="125"/>
      <c r="BN83" s="125"/>
      <c r="BO83" s="125"/>
      <c r="BP83" s="124"/>
      <c r="BQ83" s="124"/>
      <c r="BR83" s="124"/>
      <c r="BS83" s="124"/>
      <c r="BT83" s="124"/>
      <c r="BU83" s="124"/>
      <c r="BV83" s="110"/>
      <c r="BW83" s="110" t="str">
        <f t="shared" si="105"/>
        <v/>
      </c>
      <c r="BX83" s="110"/>
      <c r="BY83" s="110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</row>
    <row r="84" spans="1:102" s="126" customFormat="1" ht="25.5" customHeight="1">
      <c r="A84" s="613" t="s">
        <v>229</v>
      </c>
      <c r="B84" s="611"/>
      <c r="C84" s="611"/>
      <c r="D84" s="611"/>
      <c r="E84" s="611"/>
      <c r="F84" s="611"/>
      <c r="G84" s="611"/>
      <c r="H84" s="611"/>
      <c r="I84" s="611"/>
      <c r="J84" s="611"/>
      <c r="K84" s="611"/>
      <c r="L84" s="611"/>
      <c r="M84" s="611"/>
      <c r="N84" s="612"/>
      <c r="O84" s="265"/>
      <c r="P84" s="265"/>
      <c r="Q84" s="265"/>
      <c r="R84" s="265"/>
      <c r="S84" s="102"/>
      <c r="T84" s="1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30"/>
      <c r="AF84" s="125"/>
      <c r="AG84" s="125"/>
      <c r="AH84" s="125"/>
      <c r="AI84" s="125"/>
      <c r="AJ84" s="125"/>
      <c r="AK84" s="125"/>
      <c r="AL84" s="125"/>
      <c r="AM84" s="125"/>
      <c r="AN84" s="125"/>
      <c r="AO84" s="128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8"/>
      <c r="BH84" s="125"/>
      <c r="BI84" s="128"/>
      <c r="BJ84" s="125"/>
      <c r="BK84" s="125"/>
      <c r="BL84" s="125"/>
      <c r="BM84" s="125"/>
      <c r="BN84" s="125"/>
      <c r="BO84" s="125"/>
      <c r="BP84" s="124"/>
      <c r="BQ84" s="124"/>
      <c r="BR84" s="124"/>
      <c r="BS84" s="124"/>
      <c r="BT84" s="124"/>
      <c r="BU84" s="124"/>
      <c r="BV84" s="110"/>
      <c r="BW84" s="110" t="str">
        <f t="shared" si="105"/>
        <v/>
      </c>
      <c r="BX84" s="110"/>
      <c r="BY84" s="110"/>
      <c r="BZ84" s="99"/>
      <c r="CA84" s="99"/>
      <c r="CB84" s="99"/>
      <c r="CC84" s="99"/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</row>
    <row r="85" spans="1:102" s="126" customFormat="1" ht="18.75">
      <c r="A85" s="179">
        <v>2202</v>
      </c>
      <c r="B85" s="179">
        <v>1</v>
      </c>
      <c r="C85" s="180" t="str">
        <f>IF(ISNA(VLOOKUP(B85,Master!BD$59:BP$106,3,FALSE)),"",VLOOKUP(B85,Master!BD$59:BP$106,3,FALSE))</f>
        <v/>
      </c>
      <c r="D85" s="181" t="str">
        <f>IF(ISNA(VLOOKUP(B85,Master!BD$59:BP$106,7,FALSE)),"",VLOOKUP(B85,Master!BD$59:BP$106,7,FALSE))</f>
        <v/>
      </c>
      <c r="E85" s="181" t="str">
        <f>IF(ISNA(VLOOKUP(B85,Master!BD$59:BP$106,8,FALSE)),"",VLOOKUP(B85,Master!BD$59:BP$106,8,FALSE))</f>
        <v/>
      </c>
      <c r="F85" s="183" t="str">
        <f>IF(ISNA(VLOOKUP(B85,Master!BD$59:BP$106,4,FALSE)),"",VLOOKUP(B85,Master!BD$59:BP$106,4,FALSE))</f>
        <v/>
      </c>
      <c r="G85" s="211" t="str">
        <f>IF(ISNA(VLOOKUP(B85,Master!BD$59:BP$106,5,FALSE)),"",VLOOKUP(B85,Master!BD$59:BP$106,5,FALSE))</f>
        <v/>
      </c>
      <c r="H85" s="185" t="str">
        <f>IF(G85="","",IF(G85=1,12400,IF(G85=2,12600,IF(G85=3,12800,IF(G85=4,13500,IF(G85=5,14600,IF(G85=6,15100,IF(G85=7,15700,IF(G85=8,18500,IF(G85=9,20100,IF(G85=10,23700,IF(G85=11,26500,IF(G85=12,31100,IF(G85=13,39300,IF(G85=14,42500,IF(G85=15,42500,IF(G85=16,47200,IF(G85=17,49700,IF(G85=18,52800,IF(G85=19,56000,IF(G85=20,62300,IF(G85=21,86200,IF(G85=22,90800,IF(G85=23,102100,IF(G85=24, 104200,0)))))))))))))))))))))))))</f>
        <v/>
      </c>
      <c r="I85" s="179" t="str">
        <f>IF(AND(G85=""),"",H85*12)</f>
        <v/>
      </c>
      <c r="J85" s="181" t="str">
        <f>IF(AND(G85=""),"","Not Applicable")</f>
        <v/>
      </c>
      <c r="K85" s="179" t="str">
        <f>IF(AND(G85=""),"","0")</f>
        <v/>
      </c>
      <c r="L85" s="179" t="str">
        <f>IF(AND(G85=""),"",I85+K85)</f>
        <v/>
      </c>
      <c r="M85" s="179" t="str">
        <f>IF(AND(G85=""),"",L85)</f>
        <v/>
      </c>
      <c r="N85" s="185" t="str">
        <f>IF(AND(G85=""),"","FIX PAY")</f>
        <v/>
      </c>
      <c r="O85" s="267"/>
      <c r="P85" s="267"/>
      <c r="Q85" s="267"/>
      <c r="R85" s="267">
        <v>0</v>
      </c>
      <c r="S85" s="102"/>
      <c r="T85" s="133"/>
      <c r="U85" s="125"/>
      <c r="V85" s="125"/>
      <c r="W85" s="133"/>
      <c r="X85" s="125">
        <f>'[1]Data Entry'!BJ59</f>
        <v>0</v>
      </c>
      <c r="Y85" s="129"/>
      <c r="Z85" s="129"/>
      <c r="AA85" s="129"/>
      <c r="AB85" s="129"/>
      <c r="AC85" s="129"/>
      <c r="AD85" s="129"/>
      <c r="AE85" s="130" t="str">
        <f>IF(AND(H85=""),"",(IF(N85="FIX PAY",0,(H85-ROUNDUP(ROUND((H85*3%)-(H85*3%)*3%,0),-1)))))</f>
        <v/>
      </c>
      <c r="AF85" s="130" t="str">
        <f>IF(AND(H85=""),"",$L85*$BP85)</f>
        <v/>
      </c>
      <c r="AG85" s="130" t="str">
        <f>IF(AND(H85=""),"",$L85*$BQ85)</f>
        <v/>
      </c>
      <c r="AH85" s="130" t="str">
        <f>IF(AND(H85=""),"",$L85*$BR85)</f>
        <v/>
      </c>
      <c r="AI85" s="130" t="str">
        <f>IF(AND(H85=""),"",$L85*$BS85)</f>
        <v/>
      </c>
      <c r="AJ85" s="128" t="str">
        <f>IF(AND(H85=""),"",ROUND((AF85+AG85)*$AJ$10,0)*BT85)</f>
        <v/>
      </c>
      <c r="AK85" s="128">
        <v>0</v>
      </c>
      <c r="AL85" s="129">
        <v>0</v>
      </c>
      <c r="AM85" s="128" t="str">
        <f>IF(AND(H85=""),"",ROUND((AF85+AG85)*$AM$10,0)*BT85)</f>
        <v/>
      </c>
      <c r="AN85" s="129" t="e">
        <f t="shared" ref="AN85:AN92" si="108">$F$78*BQ85*BT85*(IF(H85&lt;=0,0,1))*(IF(G85&lt;=4800,1,0))</f>
        <v>#VALUE!</v>
      </c>
      <c r="AO85" s="128">
        <f t="shared" ref="AO85:AO103" si="109">IF(AND(H85=""),0,ROUND((H85+ROUND(H85*$AJ$10,0))/2,0)*(IF(N85="FIX PAY",0,1)))</f>
        <v>0</v>
      </c>
      <c r="AP85" s="128">
        <f t="shared" ref="AP85:AP92" si="110">IF(F85="CLERK GRADE I",1,IF(F85="CLERK GRADE II",1,0))*75*12*BT85*(IF(H85&lt;=0,0,1))*BU85</f>
        <v>0</v>
      </c>
      <c r="AQ85" s="128"/>
      <c r="AR85" s="128">
        <f t="shared" ref="AR85:AR92" si="111">(IF(F85="LAB BOY",150,IF(F85="JAMADAR",150,IF(F85="PEON",150,0))))*12*BT85*(IF(H85&lt;=0,0,1))</f>
        <v>0</v>
      </c>
      <c r="AS85" s="130" t="str">
        <f>IF(AND(H85=""),"",SUM(AJ85:AR85)+AF85+AG85)</f>
        <v/>
      </c>
      <c r="AT85" s="130" t="str">
        <f>IF(AND(H85=""),"",AS85)</f>
        <v/>
      </c>
      <c r="AU85" s="128"/>
      <c r="AV85" s="128"/>
      <c r="AW85" s="130" t="str">
        <f>IF(AND(H85=""),"",AT85+AU85+AV85)</f>
        <v/>
      </c>
      <c r="AX85" s="130" t="str">
        <f>IF(AND(H85=""),"",M85*BP85)</f>
        <v/>
      </c>
      <c r="AY85" s="130" t="str">
        <f>IF(AND(H85=""),"",M85*BQ85)</f>
        <v/>
      </c>
      <c r="AZ85" s="130" t="str">
        <f>IF(AND(H85=""),"",M85*BR85)</f>
        <v/>
      </c>
      <c r="BA85" s="130" t="str">
        <f>IF(AND(H85=""),"",M85*BS85)</f>
        <v/>
      </c>
      <c r="BB85" s="128" t="str">
        <f>IF(AND(H85=""),"",ROUND((AX85+AY85)*$BB$10,0)*BT85)</f>
        <v/>
      </c>
      <c r="BC85" s="128"/>
      <c r="BD85" s="129">
        <v>0</v>
      </c>
      <c r="BE85" s="128" t="str">
        <f>IF(AND(H85=""),"",ROUND((AX85+AY85)*$BE$10,0)*BT85)</f>
        <v/>
      </c>
      <c r="BF85" s="129" t="e">
        <f t="shared" ref="BF85" si="112">3387*2*BQ85*BT85*(IF(H85&lt;=0,0,1))*(IF(G85&lt;=4800,1,0))</f>
        <v>#VALUE!</v>
      </c>
      <c r="BG85" s="128">
        <f t="shared" ref="BG85" si="113">IF(AND(H85=""),0,ROUND((AE85+ROUND(AE85*$AJ$10,0))/2,0)*(IF(N85="FIX PAY",0,1)))</f>
        <v>0</v>
      </c>
      <c r="BH85" s="128">
        <f t="shared" ref="BH85:BH92" si="114">IF(F85="CLERK GRADE I",1,IF(F85="CLERK GRADE II",1,0))*75*12*BT85*(IF(H85&lt;=0,0,1))*BU85</f>
        <v>0</v>
      </c>
      <c r="BI85" s="128">
        <f t="shared" ref="BI85:BI92" si="115">IF(AND(F85=""),0,(IF(F85="ASSISTANT",12,IF(F85="CLERK GRADE I",12,IF(F85="CLERK GRADE II",12,IF(F85="FIELDMAN &amp; FIELD REC",12,IF(F85="LAB BOY",12,IF(F85="JAMADAR",12,IF(F85="PEON",12,10))))))))*(MINA(ROUND(AE85*6%,0),600))*(IF($T85="yes",1,)))</f>
        <v>0</v>
      </c>
      <c r="BJ85" s="128" t="str">
        <f t="shared" ref="BJ85:BJ92" si="116">IF(AND(H85=""),"",(IF(F85="LAB BOY",150,IF(F85="JAMADAR",150,IF(F85="PEON",150,0))))*12*BT85*(IF(H85&lt;=0,0,1)))</f>
        <v/>
      </c>
      <c r="BK85" s="130" t="str">
        <f>IF(AND(H85=""),"",SUM(BB85:BJ85)+AX85+AY85)</f>
        <v/>
      </c>
      <c r="BL85" s="130" t="str">
        <f>IF(AND(H85=""),"",BK85)</f>
        <v/>
      </c>
      <c r="BM85" s="128"/>
      <c r="BN85" s="128"/>
      <c r="BO85" s="130" t="str">
        <f>IF(AND(H85=""),"",BL85+BM85+BN85)</f>
        <v/>
      </c>
      <c r="BP85" s="124">
        <f t="shared" ref="BP85:BP92" si="117">(IF(F85="PRINCIPAL",1,IF(F85="H M",1,IF(F85="AGRICULTURE INST",1,IF(F85="TEACHER-1ST",1,IF(F85="PTI  I  (13)",1,IF(F85="AGRICULTURE TEACH",1,IF(F85="INSTRUCTOR",1,0))))))))+(IF(F85="JR TEACHER",1,IF(F85="LIBRARIAN I",1,0)))*(IF(N85="FIX PAY",0,1))</f>
        <v>0</v>
      </c>
      <c r="BQ85" s="124" t="str">
        <f>IF(AND(H85=""),"",IF(BP85&lt;=0,1,0)*(IF(N85="FIX PAY",0,1)))</f>
        <v/>
      </c>
      <c r="BR85" s="124">
        <f t="shared" ref="BR85:BR92" si="118">(IF(F85="PRINCIPAL (16)",1,IF(F85="V P (14)",1,IF(F85="H M (14)",1,IF(F85="AGRICULTURE INST (13)",1,IF(F85="TEACHER-1ST (13)",1,IF(F85="PTI  I  (13)",1,IF(F85="AGRICULTURE TEACH (13)",1,IF(F85="INSTRUCTOR (13)",1,0))))))))+(IF(F85="JR TEACHER (13)",1,IF(F85="LIBRARIAN I (13)",1,0))))*(IF(N85="FIX PAY",1,0))</f>
        <v>0</v>
      </c>
      <c r="BS85" s="124">
        <f t="shared" ref="BS85:BS92" si="119">IF(BR85&lt;=0,1,0)*(IF(N85="FIX PAY",1,0))</f>
        <v>0</v>
      </c>
      <c r="BT85" s="124">
        <f t="shared" ref="BT85:BT116" si="120">IF(N85="FIX PAY",1,0)</f>
        <v>0</v>
      </c>
      <c r="BU85" s="124">
        <f t="shared" ref="BU85:BU92" si="121">IF(W85="No",0,1)</f>
        <v>1</v>
      </c>
      <c r="BV85" s="110">
        <f t="shared" ref="BV85:BV92" si="122">IF((ROUND((SUMPRODUCT(MID(0&amp;D85,LARGE(INDEX(ISNUMBER(--MID(D85,ROW($1:$25),1))* ROW($1:$25),0),ROW($1:$25))+1,1)*10^ROW($1:$25)/10)),-8)/100000000)&gt;=2004,1,0)</f>
        <v>0</v>
      </c>
      <c r="BW85" s="131">
        <f t="shared" ref="BW85:BW92" si="123">IF(H85&lt;=0,0,1)</f>
        <v>1</v>
      </c>
      <c r="BX85" s="110">
        <f t="shared" ref="BX85:BX116" si="124">IF(N85="SANVIDA",1,0)</f>
        <v>0</v>
      </c>
      <c r="BY85" s="110">
        <f t="shared" ref="BY85:BY116" si="125">IF(BX85&gt;0,H85,0)</f>
        <v>0</v>
      </c>
      <c r="BZ85" s="99" t="str">
        <f t="shared" ref="BZ85:BZ92" si="126">IF(AND(D85=""),"",IF(AND(D85&lt;=0),"",IF((ROUND((SUMPRODUCT(MID(0&amp;D85,LARGE(INDEX(ISNUMBER(--MID(D85,ROW($1:$70),1))* ROW($1:$70),0),ROW($1:$70))+1,1)*10^ROW($1:$70)/10)),-8)/100000000)&lt;2004,1,0)))</f>
        <v/>
      </c>
      <c r="CA85" s="99"/>
      <c r="CB85" s="99">
        <f>IF(H85&gt;0,1,0)</f>
        <v>1</v>
      </c>
      <c r="CC85" s="99"/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</row>
    <row r="86" spans="1:102" s="126" customFormat="1" ht="18.75">
      <c r="A86" s="179">
        <v>2202</v>
      </c>
      <c r="B86" s="179">
        <v>2</v>
      </c>
      <c r="C86" s="180" t="str">
        <f>IF(ISNA(VLOOKUP(B86,Master!BD$59:BP$106,3,FALSE)),"",VLOOKUP(B86,Master!BD$59:BP$106,3,FALSE))</f>
        <v/>
      </c>
      <c r="D86" s="181" t="str">
        <f>IF(ISNA(VLOOKUP(B86,Master!BD$59:BP$106,7,FALSE)),"",VLOOKUP(B86,Master!BD$59:BP$106,7,FALSE))</f>
        <v/>
      </c>
      <c r="E86" s="181" t="str">
        <f>IF(ISNA(VLOOKUP(B86,Master!BD$59:BP$106,8,FALSE)),"",VLOOKUP(B86,Master!BD$59:BP$106,8,FALSE))</f>
        <v/>
      </c>
      <c r="F86" s="183" t="str">
        <f>IF(ISNA(VLOOKUP(B86,Master!BD$59:BP$106,4,FALSE)),"",VLOOKUP(B86,Master!BD$59:BP$106,4,FALSE))</f>
        <v/>
      </c>
      <c r="G86" s="211" t="str">
        <f>IF(ISNA(VLOOKUP(B86,Master!BD$59:BP$106,5,FALSE)),"",VLOOKUP(B86,Master!BD$59:BP$106,5,FALSE))</f>
        <v/>
      </c>
      <c r="H86" s="185" t="str">
        <f t="shared" ref="H86:H92" si="127">IF(G86="","",IF(G86=1,12400,IF(G86=2,12600,IF(G86=3,12800,IF(G86=4,13500,IF(G86=5,14600,IF(G86=6,15100,IF(G86=7,15700,IF(G86=8,18500,IF(G86=9,20100,IF(G86=10,23700,IF(G86=11,26500,IF(G86=12,31100,IF(G86=13,39300,IF(G86=14,42500,IF(G86=15,42500,IF(G86=16,47200,IF(G86=17,49700,IF(G86=18,52800,IF(G86=19,56000,IF(G86=20,62300,IF(G86=21,86200,IF(G86=22,90800,IF(G86=23,102100,IF(G86=24, 104200,0)))))))))))))))))))))))))</f>
        <v/>
      </c>
      <c r="I86" s="179" t="str">
        <f t="shared" ref="I86:I92" si="128">IF(AND(G86=""),"",H86*12)</f>
        <v/>
      </c>
      <c r="J86" s="181" t="str">
        <f t="shared" ref="J86:J92" si="129">IF(AND(G86=""),"","Not Applicable")</f>
        <v/>
      </c>
      <c r="K86" s="179" t="str">
        <f t="shared" ref="K86:K92" si="130">IF(AND(G86=""),"","0")</f>
        <v/>
      </c>
      <c r="L86" s="179" t="str">
        <f t="shared" ref="L86:L92" si="131">IF(AND(G86=""),"",I86+K86)</f>
        <v/>
      </c>
      <c r="M86" s="179" t="str">
        <f t="shared" ref="M86:M92" si="132">IF(AND(G86=""),"",L86)</f>
        <v/>
      </c>
      <c r="N86" s="185" t="str">
        <f t="shared" ref="N86:N92" si="133">IF(AND(G86=""),"","FIX PAY")</f>
        <v/>
      </c>
      <c r="O86" s="267"/>
      <c r="P86" s="267"/>
      <c r="Q86" s="267"/>
      <c r="R86" s="267">
        <v>0</v>
      </c>
      <c r="S86" s="102"/>
      <c r="T86" s="133"/>
      <c r="U86" s="125"/>
      <c r="V86" s="125"/>
      <c r="W86" s="133"/>
      <c r="X86" s="125">
        <f>'[1]Data Entry'!BJ60</f>
        <v>0</v>
      </c>
      <c r="Y86" s="129"/>
      <c r="Z86" s="129"/>
      <c r="AA86" s="129"/>
      <c r="AB86" s="129"/>
      <c r="AC86" s="129"/>
      <c r="AD86" s="129"/>
      <c r="AE86" s="130" t="str">
        <f t="shared" ref="AE86:AE103" si="134">IF(AND(H86=""),"",(IF(N86="FIX PAY",0,(H86-ROUNDUP(ROUND((H86*3%)-(H86*3%)*3%,0),-1)))))</f>
        <v/>
      </c>
      <c r="AF86" s="130" t="str">
        <f t="shared" ref="AF86:AF103" si="135">IF(AND(H86=""),"",$L86*$BP86)</f>
        <v/>
      </c>
      <c r="AG86" s="130" t="str">
        <f t="shared" ref="AG86:AG103" si="136">IF(AND(H86=""),"",$L86*$BQ86)</f>
        <v/>
      </c>
      <c r="AH86" s="130" t="str">
        <f t="shared" ref="AH86:AH103" si="137">IF(AND(H86=""),"",$L86*$BR86)</f>
        <v/>
      </c>
      <c r="AI86" s="130" t="str">
        <f t="shared" ref="AI86:AI103" si="138">IF(AND(H86=""),"",$L86*$BS86)</f>
        <v/>
      </c>
      <c r="AJ86" s="128" t="str">
        <f t="shared" ref="AJ86:AJ103" si="139">IF(AND(H86=""),"",ROUND((AF86+AG86)*$AJ$10,0)*BT86)</f>
        <v/>
      </c>
      <c r="AK86" s="128">
        <v>0</v>
      </c>
      <c r="AL86" s="129">
        <v>0</v>
      </c>
      <c r="AM86" s="128" t="str">
        <f t="shared" ref="AM86:AM103" si="140">IF(AND(H86=""),"",ROUND((AF86+AG86)*$AM$10,0)*BT86)</f>
        <v/>
      </c>
      <c r="AN86" s="129">
        <f t="shared" si="108"/>
        <v>0</v>
      </c>
      <c r="AO86" s="128">
        <f t="shared" si="109"/>
        <v>0</v>
      </c>
      <c r="AP86" s="128">
        <f t="shared" si="110"/>
        <v>0</v>
      </c>
      <c r="AQ86" s="128"/>
      <c r="AR86" s="128">
        <f t="shared" si="111"/>
        <v>0</v>
      </c>
      <c r="AS86" s="130" t="str">
        <f t="shared" ref="AS86:AS103" si="141">IF(AND(H86=""),"",SUM(AJ86:AR86)+AF86+AG86)</f>
        <v/>
      </c>
      <c r="AT86" s="130" t="str">
        <f t="shared" ref="AT86:AT103" si="142">IF(AND(H86=""),"",AS86)</f>
        <v/>
      </c>
      <c r="AU86" s="128"/>
      <c r="AV86" s="128"/>
      <c r="AW86" s="130" t="str">
        <f t="shared" ref="AW86:AW103" si="143">IF(AND(H86=""),"",AT86+AU86+AV86)</f>
        <v/>
      </c>
      <c r="AX86" s="130" t="str">
        <f t="shared" ref="AX86:AX103" si="144">IF(AND(H86=""),"",M86*BP86)</f>
        <v/>
      </c>
      <c r="AY86" s="130" t="str">
        <f t="shared" ref="AY86:AY103" si="145">IF(AND(H86=""),"",M86*BQ86)</f>
        <v/>
      </c>
      <c r="AZ86" s="130" t="str">
        <f t="shared" ref="AZ86:AZ103" si="146">IF(AND(H86=""),"",M86*BR86)</f>
        <v/>
      </c>
      <c r="BA86" s="130" t="str">
        <f t="shared" ref="BA86:BA103" si="147">IF(AND(H86=""),"",M86*BS86)</f>
        <v/>
      </c>
      <c r="BB86" s="128" t="str">
        <f t="shared" ref="BB86:BB103" si="148">IF(AND(H86=""),"",ROUND((AX86+AY86)*$BB$10,0)*BT86)</f>
        <v/>
      </c>
      <c r="BC86" s="128"/>
      <c r="BD86" s="129">
        <v>0</v>
      </c>
      <c r="BE86" s="128" t="str">
        <f t="shared" ref="BE86:BE103" si="149">IF(AND(H86=""),"",ROUND((AX86+AY86)*$BE$10,0)*BT86)</f>
        <v/>
      </c>
      <c r="BF86" s="129">
        <f t="shared" ref="BF86:BF103" si="150">3387*2*BQ86*BT86*(IF(H86&lt;=0,0,1))*(IF(G86&lt;=4800,1,0))</f>
        <v>0</v>
      </c>
      <c r="BG86" s="128">
        <f t="shared" ref="BG86:BG103" si="151">IF(AND(H86=""),0,ROUND((AE86+ROUND(AE86*$AJ$10,0))/2,0)*(IF(N86="FIX PAY",0,1)))</f>
        <v>0</v>
      </c>
      <c r="BH86" s="128">
        <f t="shared" si="114"/>
        <v>0</v>
      </c>
      <c r="BI86" s="128">
        <f t="shared" si="115"/>
        <v>0</v>
      </c>
      <c r="BJ86" s="128" t="str">
        <f t="shared" si="116"/>
        <v/>
      </c>
      <c r="BK86" s="130" t="str">
        <f t="shared" ref="BK86:BK103" si="152">IF(AND(H86=""),"",SUM(BB86:BJ86)+AX86+AY86)</f>
        <v/>
      </c>
      <c r="BL86" s="130" t="str">
        <f t="shared" ref="BL86:BL103" si="153">IF(AND(H86=""),"",BK86)</f>
        <v/>
      </c>
      <c r="BM86" s="128"/>
      <c r="BN86" s="128"/>
      <c r="BO86" s="130" t="str">
        <f t="shared" ref="BO86:BO103" si="154">IF(AND(H86=""),"",BL86+BM86+BN86)</f>
        <v/>
      </c>
      <c r="BP86" s="124">
        <f t="shared" si="117"/>
        <v>0</v>
      </c>
      <c r="BQ86" s="124">
        <f t="shared" ref="BQ86:BQ92" si="155">IF(BP86&lt;=0,1,0)*(IF(N86="FIX PAY",0,1))</f>
        <v>1</v>
      </c>
      <c r="BR86" s="124">
        <f t="shared" si="118"/>
        <v>0</v>
      </c>
      <c r="BS86" s="124">
        <f t="shared" si="119"/>
        <v>0</v>
      </c>
      <c r="BT86" s="124">
        <f t="shared" si="120"/>
        <v>0</v>
      </c>
      <c r="BU86" s="124">
        <f t="shared" si="121"/>
        <v>1</v>
      </c>
      <c r="BV86" s="110">
        <f t="shared" si="122"/>
        <v>0</v>
      </c>
      <c r="BW86" s="131">
        <f t="shared" si="123"/>
        <v>1</v>
      </c>
      <c r="BX86" s="110">
        <f t="shared" si="124"/>
        <v>0</v>
      </c>
      <c r="BY86" s="110">
        <f t="shared" si="125"/>
        <v>0</v>
      </c>
      <c r="BZ86" s="99" t="str">
        <f t="shared" si="126"/>
        <v/>
      </c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</row>
    <row r="87" spans="1:102" s="126" customFormat="1" ht="18.75">
      <c r="A87" s="179">
        <v>2202</v>
      </c>
      <c r="B87" s="179">
        <v>3</v>
      </c>
      <c r="C87" s="180" t="str">
        <f>IF(ISNA(VLOOKUP(B87,Master!BD$59:BP$106,3,FALSE)),"",VLOOKUP(B87,Master!BD$59:BP$106,3,FALSE))</f>
        <v/>
      </c>
      <c r="D87" s="181" t="str">
        <f>IF(ISNA(VLOOKUP(B87,Master!BD$59:BP$106,7,FALSE)),"",VLOOKUP(B87,Master!BD$59:BP$106,7,FALSE))</f>
        <v/>
      </c>
      <c r="E87" s="181" t="str">
        <f>IF(ISNA(VLOOKUP(B87,Master!BD$59:BP$106,8,FALSE)),"",VLOOKUP(B87,Master!BD$59:BP$106,8,FALSE))</f>
        <v/>
      </c>
      <c r="F87" s="183" t="str">
        <f>IF(ISNA(VLOOKUP(B87,Master!BD$59:BP$106,4,FALSE)),"",VLOOKUP(B87,Master!BD$59:BP$106,4,FALSE))</f>
        <v/>
      </c>
      <c r="G87" s="211" t="str">
        <f>IF(ISNA(VLOOKUP(B87,Master!BD$59:BP$106,5,FALSE)),"",VLOOKUP(B87,Master!BD$59:BP$106,5,FALSE))</f>
        <v/>
      </c>
      <c r="H87" s="185" t="str">
        <f t="shared" si="127"/>
        <v/>
      </c>
      <c r="I87" s="179" t="str">
        <f t="shared" si="128"/>
        <v/>
      </c>
      <c r="J87" s="181" t="str">
        <f t="shared" si="129"/>
        <v/>
      </c>
      <c r="K87" s="179" t="str">
        <f t="shared" si="130"/>
        <v/>
      </c>
      <c r="L87" s="179" t="str">
        <f t="shared" si="131"/>
        <v/>
      </c>
      <c r="M87" s="179" t="str">
        <f t="shared" si="132"/>
        <v/>
      </c>
      <c r="N87" s="185" t="str">
        <f t="shared" si="133"/>
        <v/>
      </c>
      <c r="O87" s="267"/>
      <c r="P87" s="267"/>
      <c r="Q87" s="267"/>
      <c r="R87" s="267">
        <v>0</v>
      </c>
      <c r="S87" s="102"/>
      <c r="T87" s="133"/>
      <c r="U87" s="125"/>
      <c r="V87" s="125"/>
      <c r="W87" s="133"/>
      <c r="X87" s="125">
        <f>'[1]Data Entry'!BJ61</f>
        <v>0</v>
      </c>
      <c r="Y87" s="129"/>
      <c r="Z87" s="129"/>
      <c r="AA87" s="129"/>
      <c r="AB87" s="129"/>
      <c r="AC87" s="129"/>
      <c r="AD87" s="129"/>
      <c r="AE87" s="130" t="str">
        <f t="shared" si="134"/>
        <v/>
      </c>
      <c r="AF87" s="130" t="str">
        <f t="shared" si="135"/>
        <v/>
      </c>
      <c r="AG87" s="130" t="str">
        <f t="shared" si="136"/>
        <v/>
      </c>
      <c r="AH87" s="130" t="str">
        <f t="shared" si="137"/>
        <v/>
      </c>
      <c r="AI87" s="130" t="str">
        <f t="shared" si="138"/>
        <v/>
      </c>
      <c r="AJ87" s="128" t="str">
        <f t="shared" si="139"/>
        <v/>
      </c>
      <c r="AK87" s="128">
        <v>0</v>
      </c>
      <c r="AL87" s="129">
        <v>0</v>
      </c>
      <c r="AM87" s="128" t="str">
        <f t="shared" si="140"/>
        <v/>
      </c>
      <c r="AN87" s="129">
        <f t="shared" si="108"/>
        <v>0</v>
      </c>
      <c r="AO87" s="128">
        <f t="shared" si="109"/>
        <v>0</v>
      </c>
      <c r="AP87" s="128">
        <f t="shared" si="110"/>
        <v>0</v>
      </c>
      <c r="AQ87" s="128"/>
      <c r="AR87" s="128">
        <f t="shared" si="111"/>
        <v>0</v>
      </c>
      <c r="AS87" s="130" t="str">
        <f t="shared" si="141"/>
        <v/>
      </c>
      <c r="AT87" s="130" t="str">
        <f t="shared" si="142"/>
        <v/>
      </c>
      <c r="AU87" s="128"/>
      <c r="AV87" s="128"/>
      <c r="AW87" s="130" t="str">
        <f t="shared" si="143"/>
        <v/>
      </c>
      <c r="AX87" s="130" t="str">
        <f t="shared" si="144"/>
        <v/>
      </c>
      <c r="AY87" s="130" t="str">
        <f t="shared" si="145"/>
        <v/>
      </c>
      <c r="AZ87" s="130" t="str">
        <f t="shared" si="146"/>
        <v/>
      </c>
      <c r="BA87" s="130" t="str">
        <f t="shared" si="147"/>
        <v/>
      </c>
      <c r="BB87" s="128" t="str">
        <f t="shared" si="148"/>
        <v/>
      </c>
      <c r="BC87" s="128"/>
      <c r="BD87" s="129">
        <v>0</v>
      </c>
      <c r="BE87" s="128" t="str">
        <f t="shared" si="149"/>
        <v/>
      </c>
      <c r="BF87" s="129">
        <f t="shared" si="150"/>
        <v>0</v>
      </c>
      <c r="BG87" s="128">
        <f t="shared" si="151"/>
        <v>0</v>
      </c>
      <c r="BH87" s="128">
        <f t="shared" si="114"/>
        <v>0</v>
      </c>
      <c r="BI87" s="128">
        <f t="shared" si="115"/>
        <v>0</v>
      </c>
      <c r="BJ87" s="128" t="str">
        <f t="shared" si="116"/>
        <v/>
      </c>
      <c r="BK87" s="130" t="str">
        <f t="shared" si="152"/>
        <v/>
      </c>
      <c r="BL87" s="130" t="str">
        <f t="shared" si="153"/>
        <v/>
      </c>
      <c r="BM87" s="128"/>
      <c r="BN87" s="128"/>
      <c r="BO87" s="130" t="str">
        <f t="shared" si="154"/>
        <v/>
      </c>
      <c r="BP87" s="124">
        <f t="shared" si="117"/>
        <v>0</v>
      </c>
      <c r="BQ87" s="124">
        <f t="shared" si="155"/>
        <v>1</v>
      </c>
      <c r="BR87" s="124">
        <f t="shared" si="118"/>
        <v>0</v>
      </c>
      <c r="BS87" s="124">
        <f t="shared" si="119"/>
        <v>0</v>
      </c>
      <c r="BT87" s="124">
        <f t="shared" si="120"/>
        <v>0</v>
      </c>
      <c r="BU87" s="124">
        <f t="shared" si="121"/>
        <v>1</v>
      </c>
      <c r="BV87" s="110">
        <f t="shared" si="122"/>
        <v>0</v>
      </c>
      <c r="BW87" s="131">
        <f t="shared" si="123"/>
        <v>1</v>
      </c>
      <c r="BX87" s="110">
        <f t="shared" si="124"/>
        <v>0</v>
      </c>
      <c r="BY87" s="110">
        <f t="shared" si="125"/>
        <v>0</v>
      </c>
      <c r="BZ87" s="99" t="str">
        <f t="shared" si="126"/>
        <v/>
      </c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99"/>
      <c r="CX87" s="99"/>
    </row>
    <row r="88" spans="1:102" s="126" customFormat="1" ht="18.75">
      <c r="A88" s="179">
        <v>2202</v>
      </c>
      <c r="B88" s="179">
        <v>4</v>
      </c>
      <c r="C88" s="180" t="str">
        <f>IF(ISNA(VLOOKUP(B88,Master!BD$59:BP$106,3,FALSE)),"",VLOOKUP(B88,Master!BD$59:BP$106,3,FALSE))</f>
        <v/>
      </c>
      <c r="D88" s="181" t="str">
        <f>IF(ISNA(VLOOKUP(B88,Master!BD$59:BP$106,7,FALSE)),"",VLOOKUP(B88,Master!BD$59:BP$106,7,FALSE))</f>
        <v/>
      </c>
      <c r="E88" s="181" t="str">
        <f>IF(ISNA(VLOOKUP(B88,Master!BD$59:BP$106,8,FALSE)),"",VLOOKUP(B88,Master!BD$59:BP$106,8,FALSE))</f>
        <v/>
      </c>
      <c r="F88" s="183" t="str">
        <f>IF(ISNA(VLOOKUP(B88,Master!BD$59:BP$106,4,FALSE)),"",VLOOKUP(B88,Master!BD$59:BP$106,4,FALSE))</f>
        <v/>
      </c>
      <c r="G88" s="211" t="str">
        <f>IF(ISNA(VLOOKUP(B88,Master!BD$59:BP$106,5,FALSE)),"",VLOOKUP(B88,Master!BD$59:BP$106,5,FALSE))</f>
        <v/>
      </c>
      <c r="H88" s="185" t="str">
        <f t="shared" si="127"/>
        <v/>
      </c>
      <c r="I88" s="179" t="str">
        <f t="shared" si="128"/>
        <v/>
      </c>
      <c r="J88" s="181" t="str">
        <f t="shared" si="129"/>
        <v/>
      </c>
      <c r="K88" s="179" t="str">
        <f t="shared" si="130"/>
        <v/>
      </c>
      <c r="L88" s="179" t="str">
        <f t="shared" si="131"/>
        <v/>
      </c>
      <c r="M88" s="179" t="str">
        <f t="shared" si="132"/>
        <v/>
      </c>
      <c r="N88" s="185" t="str">
        <f t="shared" si="133"/>
        <v/>
      </c>
      <c r="O88" s="267"/>
      <c r="P88" s="267"/>
      <c r="Q88" s="267"/>
      <c r="R88" s="267">
        <v>0</v>
      </c>
      <c r="S88" s="102"/>
      <c r="T88" s="133"/>
      <c r="U88" s="125"/>
      <c r="V88" s="125"/>
      <c r="W88" s="133"/>
      <c r="X88" s="125">
        <f>'[1]Data Entry'!BJ62</f>
        <v>0</v>
      </c>
      <c r="Y88" s="129"/>
      <c r="Z88" s="129"/>
      <c r="AA88" s="129"/>
      <c r="AB88" s="129"/>
      <c r="AC88" s="129"/>
      <c r="AD88" s="129"/>
      <c r="AE88" s="130" t="str">
        <f t="shared" si="134"/>
        <v/>
      </c>
      <c r="AF88" s="130" t="str">
        <f t="shared" si="135"/>
        <v/>
      </c>
      <c r="AG88" s="130" t="str">
        <f t="shared" si="136"/>
        <v/>
      </c>
      <c r="AH88" s="130" t="str">
        <f t="shared" si="137"/>
        <v/>
      </c>
      <c r="AI88" s="130" t="str">
        <f t="shared" si="138"/>
        <v/>
      </c>
      <c r="AJ88" s="128" t="str">
        <f t="shared" si="139"/>
        <v/>
      </c>
      <c r="AK88" s="128">
        <v>0</v>
      </c>
      <c r="AL88" s="129">
        <v>0</v>
      </c>
      <c r="AM88" s="128" t="str">
        <f t="shared" si="140"/>
        <v/>
      </c>
      <c r="AN88" s="129">
        <f t="shared" si="108"/>
        <v>0</v>
      </c>
      <c r="AO88" s="128">
        <f t="shared" si="109"/>
        <v>0</v>
      </c>
      <c r="AP88" s="128">
        <f t="shared" si="110"/>
        <v>0</v>
      </c>
      <c r="AQ88" s="128"/>
      <c r="AR88" s="128">
        <f t="shared" si="111"/>
        <v>0</v>
      </c>
      <c r="AS88" s="130" t="str">
        <f t="shared" si="141"/>
        <v/>
      </c>
      <c r="AT88" s="130" t="str">
        <f t="shared" si="142"/>
        <v/>
      </c>
      <c r="AU88" s="128"/>
      <c r="AV88" s="128"/>
      <c r="AW88" s="130" t="str">
        <f t="shared" si="143"/>
        <v/>
      </c>
      <c r="AX88" s="130" t="str">
        <f t="shared" si="144"/>
        <v/>
      </c>
      <c r="AY88" s="130" t="str">
        <f t="shared" si="145"/>
        <v/>
      </c>
      <c r="AZ88" s="130" t="str">
        <f t="shared" si="146"/>
        <v/>
      </c>
      <c r="BA88" s="130" t="str">
        <f t="shared" si="147"/>
        <v/>
      </c>
      <c r="BB88" s="128" t="str">
        <f t="shared" si="148"/>
        <v/>
      </c>
      <c r="BC88" s="128"/>
      <c r="BD88" s="129">
        <v>0</v>
      </c>
      <c r="BE88" s="128" t="str">
        <f t="shared" si="149"/>
        <v/>
      </c>
      <c r="BF88" s="129">
        <f t="shared" si="150"/>
        <v>0</v>
      </c>
      <c r="BG88" s="128">
        <f t="shared" si="151"/>
        <v>0</v>
      </c>
      <c r="BH88" s="128">
        <f t="shared" si="114"/>
        <v>0</v>
      </c>
      <c r="BI88" s="128">
        <f t="shared" si="115"/>
        <v>0</v>
      </c>
      <c r="BJ88" s="128" t="str">
        <f t="shared" si="116"/>
        <v/>
      </c>
      <c r="BK88" s="130" t="str">
        <f t="shared" si="152"/>
        <v/>
      </c>
      <c r="BL88" s="130" t="str">
        <f t="shared" si="153"/>
        <v/>
      </c>
      <c r="BM88" s="128"/>
      <c r="BN88" s="128"/>
      <c r="BO88" s="130" t="str">
        <f t="shared" si="154"/>
        <v/>
      </c>
      <c r="BP88" s="124">
        <f t="shared" si="117"/>
        <v>0</v>
      </c>
      <c r="BQ88" s="124">
        <f t="shared" si="155"/>
        <v>1</v>
      </c>
      <c r="BR88" s="124">
        <f t="shared" si="118"/>
        <v>0</v>
      </c>
      <c r="BS88" s="124">
        <f t="shared" si="119"/>
        <v>0</v>
      </c>
      <c r="BT88" s="124">
        <f t="shared" si="120"/>
        <v>0</v>
      </c>
      <c r="BU88" s="124">
        <f t="shared" si="121"/>
        <v>1</v>
      </c>
      <c r="BV88" s="110">
        <f t="shared" si="122"/>
        <v>0</v>
      </c>
      <c r="BW88" s="131">
        <f t="shared" si="123"/>
        <v>1</v>
      </c>
      <c r="BX88" s="110">
        <f t="shared" si="124"/>
        <v>0</v>
      </c>
      <c r="BY88" s="110">
        <f t="shared" si="125"/>
        <v>0</v>
      </c>
      <c r="BZ88" s="99" t="str">
        <f t="shared" si="126"/>
        <v/>
      </c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</row>
    <row r="89" spans="1:102" s="126" customFormat="1" ht="18.75">
      <c r="A89" s="179">
        <v>2202</v>
      </c>
      <c r="B89" s="179">
        <v>5</v>
      </c>
      <c r="C89" s="180" t="str">
        <f>IF(ISNA(VLOOKUP(B89,Master!BD$59:BP$106,3,FALSE)),"",VLOOKUP(B89,Master!BD$59:BP$106,3,FALSE))</f>
        <v/>
      </c>
      <c r="D89" s="181" t="str">
        <f>IF(ISNA(VLOOKUP(B89,Master!BD$59:BP$106,7,FALSE)),"",VLOOKUP(B89,Master!BD$59:BP$106,7,FALSE))</f>
        <v/>
      </c>
      <c r="E89" s="181" t="str">
        <f>IF(ISNA(VLOOKUP(B89,Master!BD$59:BP$106,8,FALSE)),"",VLOOKUP(B89,Master!BD$59:BP$106,8,FALSE))</f>
        <v/>
      </c>
      <c r="F89" s="183" t="str">
        <f>IF(ISNA(VLOOKUP(B89,Master!BD$59:BP$106,4,FALSE)),"",VLOOKUP(B89,Master!BD$59:BP$106,4,FALSE))</f>
        <v/>
      </c>
      <c r="G89" s="211" t="str">
        <f>IF(ISNA(VLOOKUP(B89,Master!BD$59:BP$106,5,FALSE)),"",VLOOKUP(B89,Master!BD$59:BP$106,5,FALSE))</f>
        <v/>
      </c>
      <c r="H89" s="185" t="str">
        <f t="shared" si="127"/>
        <v/>
      </c>
      <c r="I89" s="179" t="str">
        <f t="shared" si="128"/>
        <v/>
      </c>
      <c r="J89" s="181" t="str">
        <f t="shared" si="129"/>
        <v/>
      </c>
      <c r="K89" s="179" t="str">
        <f t="shared" si="130"/>
        <v/>
      </c>
      <c r="L89" s="179" t="str">
        <f t="shared" si="131"/>
        <v/>
      </c>
      <c r="M89" s="179" t="str">
        <f t="shared" si="132"/>
        <v/>
      </c>
      <c r="N89" s="185" t="str">
        <f t="shared" si="133"/>
        <v/>
      </c>
      <c r="O89" s="267"/>
      <c r="P89" s="267"/>
      <c r="Q89" s="267"/>
      <c r="R89" s="267">
        <v>0</v>
      </c>
      <c r="S89" s="102"/>
      <c r="T89" s="133"/>
      <c r="U89" s="125"/>
      <c r="V89" s="125"/>
      <c r="W89" s="133"/>
      <c r="X89" s="125">
        <f>'[1]Data Entry'!BJ63</f>
        <v>0</v>
      </c>
      <c r="Y89" s="129"/>
      <c r="Z89" s="129"/>
      <c r="AA89" s="129"/>
      <c r="AB89" s="129"/>
      <c r="AC89" s="129"/>
      <c r="AD89" s="129"/>
      <c r="AE89" s="130" t="str">
        <f t="shared" si="134"/>
        <v/>
      </c>
      <c r="AF89" s="130" t="str">
        <f t="shared" si="135"/>
        <v/>
      </c>
      <c r="AG89" s="130" t="str">
        <f t="shared" si="136"/>
        <v/>
      </c>
      <c r="AH89" s="130" t="str">
        <f t="shared" si="137"/>
        <v/>
      </c>
      <c r="AI89" s="130" t="str">
        <f t="shared" si="138"/>
        <v/>
      </c>
      <c r="AJ89" s="128" t="str">
        <f t="shared" si="139"/>
        <v/>
      </c>
      <c r="AK89" s="128">
        <v>0</v>
      </c>
      <c r="AL89" s="129">
        <v>0</v>
      </c>
      <c r="AM89" s="128" t="str">
        <f t="shared" si="140"/>
        <v/>
      </c>
      <c r="AN89" s="129">
        <f t="shared" si="108"/>
        <v>0</v>
      </c>
      <c r="AO89" s="128">
        <f t="shared" si="109"/>
        <v>0</v>
      </c>
      <c r="AP89" s="128">
        <f t="shared" si="110"/>
        <v>0</v>
      </c>
      <c r="AQ89" s="128"/>
      <c r="AR89" s="128">
        <f t="shared" si="111"/>
        <v>0</v>
      </c>
      <c r="AS89" s="130" t="str">
        <f t="shared" si="141"/>
        <v/>
      </c>
      <c r="AT89" s="130" t="str">
        <f t="shared" si="142"/>
        <v/>
      </c>
      <c r="AU89" s="128"/>
      <c r="AV89" s="128"/>
      <c r="AW89" s="130" t="str">
        <f t="shared" si="143"/>
        <v/>
      </c>
      <c r="AX89" s="130" t="str">
        <f t="shared" si="144"/>
        <v/>
      </c>
      <c r="AY89" s="130" t="str">
        <f t="shared" si="145"/>
        <v/>
      </c>
      <c r="AZ89" s="130" t="str">
        <f t="shared" si="146"/>
        <v/>
      </c>
      <c r="BA89" s="130" t="str">
        <f t="shared" si="147"/>
        <v/>
      </c>
      <c r="BB89" s="128" t="str">
        <f t="shared" si="148"/>
        <v/>
      </c>
      <c r="BC89" s="128"/>
      <c r="BD89" s="129">
        <v>0</v>
      </c>
      <c r="BE89" s="128" t="str">
        <f t="shared" si="149"/>
        <v/>
      </c>
      <c r="BF89" s="129">
        <f t="shared" si="150"/>
        <v>0</v>
      </c>
      <c r="BG89" s="128">
        <f t="shared" si="151"/>
        <v>0</v>
      </c>
      <c r="BH89" s="128">
        <f t="shared" si="114"/>
        <v>0</v>
      </c>
      <c r="BI89" s="128">
        <f t="shared" si="115"/>
        <v>0</v>
      </c>
      <c r="BJ89" s="128" t="str">
        <f t="shared" si="116"/>
        <v/>
      </c>
      <c r="BK89" s="130" t="str">
        <f t="shared" si="152"/>
        <v/>
      </c>
      <c r="BL89" s="130" t="str">
        <f t="shared" si="153"/>
        <v/>
      </c>
      <c r="BM89" s="128"/>
      <c r="BN89" s="128"/>
      <c r="BO89" s="130" t="str">
        <f t="shared" si="154"/>
        <v/>
      </c>
      <c r="BP89" s="124">
        <f t="shared" si="117"/>
        <v>0</v>
      </c>
      <c r="BQ89" s="124">
        <f t="shared" si="155"/>
        <v>1</v>
      </c>
      <c r="BR89" s="124">
        <f t="shared" si="118"/>
        <v>0</v>
      </c>
      <c r="BS89" s="124">
        <f t="shared" si="119"/>
        <v>0</v>
      </c>
      <c r="BT89" s="124">
        <f t="shared" si="120"/>
        <v>0</v>
      </c>
      <c r="BU89" s="124">
        <f t="shared" si="121"/>
        <v>1</v>
      </c>
      <c r="BV89" s="110">
        <f t="shared" si="122"/>
        <v>0</v>
      </c>
      <c r="BW89" s="131">
        <f t="shared" si="123"/>
        <v>1</v>
      </c>
      <c r="BX89" s="110">
        <f t="shared" si="124"/>
        <v>0</v>
      </c>
      <c r="BY89" s="110">
        <f t="shared" si="125"/>
        <v>0</v>
      </c>
      <c r="BZ89" s="99" t="str">
        <f t="shared" si="126"/>
        <v/>
      </c>
      <c r="CA89" s="99"/>
      <c r="CB89" s="99"/>
      <c r="CC89" s="99"/>
      <c r="CD89" s="99"/>
      <c r="CE89" s="99"/>
      <c r="CF89" s="99"/>
      <c r="CG89" s="99"/>
      <c r="CH89" s="99"/>
      <c r="CI89" s="99"/>
      <c r="CJ89" s="99"/>
      <c r="CK89" s="99"/>
      <c r="CL89" s="99"/>
      <c r="CM89" s="99"/>
      <c r="CN89" s="99"/>
      <c r="CO89" s="99"/>
      <c r="CP89" s="99"/>
      <c r="CQ89" s="99"/>
      <c r="CR89" s="99"/>
      <c r="CS89" s="99"/>
      <c r="CT89" s="99"/>
      <c r="CU89" s="99"/>
      <c r="CV89" s="99"/>
      <c r="CW89" s="99"/>
      <c r="CX89" s="99"/>
    </row>
    <row r="90" spans="1:102" s="126" customFormat="1" ht="18.75">
      <c r="A90" s="179">
        <v>2202</v>
      </c>
      <c r="B90" s="179">
        <v>6</v>
      </c>
      <c r="C90" s="180" t="str">
        <f>IF(ISNA(VLOOKUP(B90,Master!BD$59:BP$106,3,FALSE)),"",VLOOKUP(B90,Master!BD$59:BP$106,3,FALSE))</f>
        <v/>
      </c>
      <c r="D90" s="181" t="str">
        <f>IF(ISNA(VLOOKUP(B90,Master!BD$59:BP$106,7,FALSE)),"",VLOOKUP(B90,Master!BD$59:BP$106,7,FALSE))</f>
        <v/>
      </c>
      <c r="E90" s="181" t="str">
        <f>IF(ISNA(VLOOKUP(B90,Master!BD$59:BP$106,8,FALSE)),"",VLOOKUP(B90,Master!BD$59:BP$106,8,FALSE))</f>
        <v/>
      </c>
      <c r="F90" s="183" t="str">
        <f>IF(ISNA(VLOOKUP(B90,Master!BD$59:BP$106,4,FALSE)),"",VLOOKUP(B90,Master!BD$59:BP$106,4,FALSE))</f>
        <v/>
      </c>
      <c r="G90" s="211" t="str">
        <f>IF(ISNA(VLOOKUP(B90,Master!BD$59:BP$106,5,FALSE)),"",VLOOKUP(B90,Master!BD$59:BP$106,5,FALSE))</f>
        <v/>
      </c>
      <c r="H90" s="185" t="str">
        <f t="shared" si="127"/>
        <v/>
      </c>
      <c r="I90" s="179" t="str">
        <f t="shared" si="128"/>
        <v/>
      </c>
      <c r="J90" s="181" t="str">
        <f t="shared" si="129"/>
        <v/>
      </c>
      <c r="K90" s="179" t="str">
        <f t="shared" si="130"/>
        <v/>
      </c>
      <c r="L90" s="179" t="str">
        <f t="shared" si="131"/>
        <v/>
      </c>
      <c r="M90" s="179" t="str">
        <f t="shared" si="132"/>
        <v/>
      </c>
      <c r="N90" s="185" t="str">
        <f t="shared" si="133"/>
        <v/>
      </c>
      <c r="O90" s="267"/>
      <c r="P90" s="267"/>
      <c r="Q90" s="267"/>
      <c r="R90" s="267">
        <v>0</v>
      </c>
      <c r="S90" s="102"/>
      <c r="T90" s="133"/>
      <c r="U90" s="125"/>
      <c r="V90" s="125"/>
      <c r="W90" s="133"/>
      <c r="X90" s="125">
        <f>'[1]Data Entry'!BJ64</f>
        <v>0</v>
      </c>
      <c r="Y90" s="129"/>
      <c r="Z90" s="129"/>
      <c r="AA90" s="129"/>
      <c r="AB90" s="129"/>
      <c r="AC90" s="129"/>
      <c r="AD90" s="129"/>
      <c r="AE90" s="130" t="str">
        <f t="shared" si="134"/>
        <v/>
      </c>
      <c r="AF90" s="130" t="str">
        <f t="shared" si="135"/>
        <v/>
      </c>
      <c r="AG90" s="130" t="str">
        <f t="shared" si="136"/>
        <v/>
      </c>
      <c r="AH90" s="130" t="str">
        <f t="shared" si="137"/>
        <v/>
      </c>
      <c r="AI90" s="130" t="str">
        <f t="shared" si="138"/>
        <v/>
      </c>
      <c r="AJ90" s="128" t="str">
        <f t="shared" si="139"/>
        <v/>
      </c>
      <c r="AK90" s="128">
        <v>0</v>
      </c>
      <c r="AL90" s="129">
        <v>0</v>
      </c>
      <c r="AM90" s="128" t="str">
        <f t="shared" si="140"/>
        <v/>
      </c>
      <c r="AN90" s="129">
        <f t="shared" si="108"/>
        <v>0</v>
      </c>
      <c r="AO90" s="128">
        <f t="shared" si="109"/>
        <v>0</v>
      </c>
      <c r="AP90" s="128">
        <f t="shared" si="110"/>
        <v>0</v>
      </c>
      <c r="AQ90" s="128"/>
      <c r="AR90" s="128">
        <f t="shared" si="111"/>
        <v>0</v>
      </c>
      <c r="AS90" s="130" t="str">
        <f t="shared" si="141"/>
        <v/>
      </c>
      <c r="AT90" s="130" t="str">
        <f t="shared" si="142"/>
        <v/>
      </c>
      <c r="AU90" s="128"/>
      <c r="AV90" s="128"/>
      <c r="AW90" s="130" t="str">
        <f t="shared" si="143"/>
        <v/>
      </c>
      <c r="AX90" s="130" t="str">
        <f t="shared" si="144"/>
        <v/>
      </c>
      <c r="AY90" s="130" t="str">
        <f t="shared" si="145"/>
        <v/>
      </c>
      <c r="AZ90" s="130" t="str">
        <f t="shared" si="146"/>
        <v/>
      </c>
      <c r="BA90" s="130" t="str">
        <f t="shared" si="147"/>
        <v/>
      </c>
      <c r="BB90" s="128" t="str">
        <f t="shared" si="148"/>
        <v/>
      </c>
      <c r="BC90" s="128"/>
      <c r="BD90" s="129">
        <v>0</v>
      </c>
      <c r="BE90" s="128" t="str">
        <f t="shared" si="149"/>
        <v/>
      </c>
      <c r="BF90" s="129">
        <f t="shared" si="150"/>
        <v>0</v>
      </c>
      <c r="BG90" s="128">
        <f t="shared" si="151"/>
        <v>0</v>
      </c>
      <c r="BH90" s="128">
        <f t="shared" si="114"/>
        <v>0</v>
      </c>
      <c r="BI90" s="128">
        <f t="shared" si="115"/>
        <v>0</v>
      </c>
      <c r="BJ90" s="128" t="str">
        <f t="shared" si="116"/>
        <v/>
      </c>
      <c r="BK90" s="130" t="str">
        <f t="shared" si="152"/>
        <v/>
      </c>
      <c r="BL90" s="130" t="str">
        <f t="shared" si="153"/>
        <v/>
      </c>
      <c r="BM90" s="128"/>
      <c r="BN90" s="128"/>
      <c r="BO90" s="130" t="str">
        <f t="shared" si="154"/>
        <v/>
      </c>
      <c r="BP90" s="124">
        <f t="shared" si="117"/>
        <v>0</v>
      </c>
      <c r="BQ90" s="124">
        <f t="shared" si="155"/>
        <v>1</v>
      </c>
      <c r="BR90" s="124">
        <f t="shared" si="118"/>
        <v>0</v>
      </c>
      <c r="BS90" s="124">
        <f t="shared" si="119"/>
        <v>0</v>
      </c>
      <c r="BT90" s="124">
        <f t="shared" si="120"/>
        <v>0</v>
      </c>
      <c r="BU90" s="124">
        <f t="shared" si="121"/>
        <v>1</v>
      </c>
      <c r="BV90" s="110">
        <f t="shared" si="122"/>
        <v>0</v>
      </c>
      <c r="BW90" s="131">
        <f t="shared" si="123"/>
        <v>1</v>
      </c>
      <c r="BX90" s="110">
        <f t="shared" si="124"/>
        <v>0</v>
      </c>
      <c r="BY90" s="110">
        <f t="shared" si="125"/>
        <v>0</v>
      </c>
      <c r="BZ90" s="99" t="str">
        <f t="shared" si="126"/>
        <v/>
      </c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</row>
    <row r="91" spans="1:102" s="126" customFormat="1" ht="18.75">
      <c r="A91" s="179">
        <v>2202</v>
      </c>
      <c r="B91" s="179">
        <v>7</v>
      </c>
      <c r="C91" s="180" t="str">
        <f>IF(ISNA(VLOOKUP(B91,Master!BD$59:BP$106,3,FALSE)),"",VLOOKUP(B91,Master!BD$59:BP$106,3,FALSE))</f>
        <v/>
      </c>
      <c r="D91" s="181" t="str">
        <f>IF(ISNA(VLOOKUP(B91,Master!BD$59:BP$106,7,FALSE)),"",VLOOKUP(B91,Master!BD$59:BP$106,7,FALSE))</f>
        <v/>
      </c>
      <c r="E91" s="181" t="str">
        <f>IF(ISNA(VLOOKUP(B91,Master!BD$59:BP$106,8,FALSE)),"",VLOOKUP(B91,Master!BD$59:BP$106,8,FALSE))</f>
        <v/>
      </c>
      <c r="F91" s="183" t="str">
        <f>IF(ISNA(VLOOKUP(B91,Master!BD$59:BP$106,4,FALSE)),"",VLOOKUP(B91,Master!BD$59:BP$106,4,FALSE))</f>
        <v/>
      </c>
      <c r="G91" s="211" t="str">
        <f>IF(ISNA(VLOOKUP(B91,Master!BD$59:BP$106,5,FALSE)),"",VLOOKUP(B91,Master!BD$59:BP$106,5,FALSE))</f>
        <v/>
      </c>
      <c r="H91" s="185" t="str">
        <f t="shared" si="127"/>
        <v/>
      </c>
      <c r="I91" s="179" t="str">
        <f t="shared" si="128"/>
        <v/>
      </c>
      <c r="J91" s="181" t="str">
        <f t="shared" si="129"/>
        <v/>
      </c>
      <c r="K91" s="179" t="str">
        <f t="shared" si="130"/>
        <v/>
      </c>
      <c r="L91" s="179" t="str">
        <f t="shared" si="131"/>
        <v/>
      </c>
      <c r="M91" s="179" t="str">
        <f t="shared" si="132"/>
        <v/>
      </c>
      <c r="N91" s="185" t="str">
        <f t="shared" si="133"/>
        <v/>
      </c>
      <c r="O91" s="267"/>
      <c r="P91" s="267"/>
      <c r="Q91" s="267"/>
      <c r="R91" s="267">
        <v>0</v>
      </c>
      <c r="S91" s="102"/>
      <c r="T91" s="133"/>
      <c r="U91" s="125"/>
      <c r="V91" s="125"/>
      <c r="W91" s="133"/>
      <c r="X91" s="125">
        <f>'[1]Data Entry'!BJ65</f>
        <v>0</v>
      </c>
      <c r="Y91" s="129"/>
      <c r="Z91" s="129"/>
      <c r="AA91" s="129"/>
      <c r="AB91" s="129"/>
      <c r="AC91" s="129"/>
      <c r="AD91" s="129"/>
      <c r="AE91" s="130" t="str">
        <f t="shared" si="134"/>
        <v/>
      </c>
      <c r="AF91" s="130" t="str">
        <f t="shared" si="135"/>
        <v/>
      </c>
      <c r="AG91" s="130" t="str">
        <f t="shared" si="136"/>
        <v/>
      </c>
      <c r="AH91" s="130" t="str">
        <f t="shared" si="137"/>
        <v/>
      </c>
      <c r="AI91" s="130" t="str">
        <f t="shared" si="138"/>
        <v/>
      </c>
      <c r="AJ91" s="128" t="str">
        <f t="shared" si="139"/>
        <v/>
      </c>
      <c r="AK91" s="128">
        <v>0</v>
      </c>
      <c r="AL91" s="129">
        <v>0</v>
      </c>
      <c r="AM91" s="128" t="str">
        <f t="shared" si="140"/>
        <v/>
      </c>
      <c r="AN91" s="129">
        <f t="shared" si="108"/>
        <v>0</v>
      </c>
      <c r="AO91" s="128">
        <f t="shared" si="109"/>
        <v>0</v>
      </c>
      <c r="AP91" s="128">
        <f t="shared" si="110"/>
        <v>0</v>
      </c>
      <c r="AQ91" s="128"/>
      <c r="AR91" s="128">
        <f t="shared" si="111"/>
        <v>0</v>
      </c>
      <c r="AS91" s="130" t="str">
        <f t="shared" si="141"/>
        <v/>
      </c>
      <c r="AT91" s="130" t="str">
        <f t="shared" si="142"/>
        <v/>
      </c>
      <c r="AU91" s="128"/>
      <c r="AV91" s="128"/>
      <c r="AW91" s="130" t="str">
        <f t="shared" si="143"/>
        <v/>
      </c>
      <c r="AX91" s="130" t="str">
        <f t="shared" si="144"/>
        <v/>
      </c>
      <c r="AY91" s="130" t="str">
        <f t="shared" si="145"/>
        <v/>
      </c>
      <c r="AZ91" s="130" t="str">
        <f t="shared" si="146"/>
        <v/>
      </c>
      <c r="BA91" s="130" t="str">
        <f t="shared" si="147"/>
        <v/>
      </c>
      <c r="BB91" s="128" t="str">
        <f t="shared" si="148"/>
        <v/>
      </c>
      <c r="BC91" s="128"/>
      <c r="BD91" s="129">
        <v>0</v>
      </c>
      <c r="BE91" s="128" t="str">
        <f t="shared" si="149"/>
        <v/>
      </c>
      <c r="BF91" s="129">
        <f t="shared" si="150"/>
        <v>0</v>
      </c>
      <c r="BG91" s="128">
        <f t="shared" si="151"/>
        <v>0</v>
      </c>
      <c r="BH91" s="128">
        <f t="shared" si="114"/>
        <v>0</v>
      </c>
      <c r="BI91" s="128">
        <f t="shared" si="115"/>
        <v>0</v>
      </c>
      <c r="BJ91" s="128" t="str">
        <f t="shared" si="116"/>
        <v/>
      </c>
      <c r="BK91" s="130" t="str">
        <f t="shared" si="152"/>
        <v/>
      </c>
      <c r="BL91" s="130" t="str">
        <f t="shared" si="153"/>
        <v/>
      </c>
      <c r="BM91" s="128"/>
      <c r="BN91" s="128"/>
      <c r="BO91" s="130" t="str">
        <f t="shared" si="154"/>
        <v/>
      </c>
      <c r="BP91" s="124">
        <f t="shared" si="117"/>
        <v>0</v>
      </c>
      <c r="BQ91" s="124">
        <f t="shared" si="155"/>
        <v>1</v>
      </c>
      <c r="BR91" s="124">
        <f t="shared" si="118"/>
        <v>0</v>
      </c>
      <c r="BS91" s="124">
        <f t="shared" si="119"/>
        <v>0</v>
      </c>
      <c r="BT91" s="124">
        <f t="shared" si="120"/>
        <v>0</v>
      </c>
      <c r="BU91" s="124">
        <f t="shared" si="121"/>
        <v>1</v>
      </c>
      <c r="BV91" s="110">
        <f t="shared" si="122"/>
        <v>0</v>
      </c>
      <c r="BW91" s="131">
        <f t="shared" si="123"/>
        <v>1</v>
      </c>
      <c r="BX91" s="110">
        <f t="shared" si="124"/>
        <v>0</v>
      </c>
      <c r="BY91" s="110">
        <f t="shared" si="125"/>
        <v>0</v>
      </c>
      <c r="BZ91" s="99" t="str">
        <f t="shared" si="126"/>
        <v/>
      </c>
      <c r="CA91" s="99"/>
      <c r="CB91" s="99"/>
      <c r="CC91" s="99"/>
      <c r="CD91" s="99"/>
      <c r="CE91" s="99"/>
      <c r="CF91" s="99"/>
      <c r="CG91" s="99"/>
      <c r="CH91" s="99"/>
      <c r="CI91" s="99"/>
      <c r="CJ91" s="99"/>
      <c r="CK91" s="99"/>
      <c r="CL91" s="99"/>
      <c r="CM91" s="99"/>
      <c r="CN91" s="99"/>
      <c r="CO91" s="99"/>
      <c r="CP91" s="99"/>
      <c r="CQ91" s="99"/>
      <c r="CR91" s="99"/>
      <c r="CS91" s="99"/>
      <c r="CT91" s="99"/>
      <c r="CU91" s="99"/>
      <c r="CV91" s="99"/>
      <c r="CW91" s="99"/>
      <c r="CX91" s="99"/>
    </row>
    <row r="92" spans="1:102" s="126" customFormat="1" ht="18.75">
      <c r="A92" s="179">
        <v>2202</v>
      </c>
      <c r="B92" s="179">
        <v>8</v>
      </c>
      <c r="C92" s="180" t="str">
        <f>IF(ISNA(VLOOKUP(B92,Master!BD$59:BP$106,3,FALSE)),"",VLOOKUP(B92,Master!BD$59:BP$106,3,FALSE))</f>
        <v/>
      </c>
      <c r="D92" s="181" t="str">
        <f>IF(ISNA(VLOOKUP(B92,Master!BD$59:BP$106,7,FALSE)),"",VLOOKUP(B92,Master!BD$59:BP$106,7,FALSE))</f>
        <v/>
      </c>
      <c r="E92" s="181" t="str">
        <f>IF(ISNA(VLOOKUP(B92,Master!BD$59:BP$106,8,FALSE)),"",VLOOKUP(B92,Master!BD$59:BP$106,8,FALSE))</f>
        <v/>
      </c>
      <c r="F92" s="183" t="str">
        <f>IF(ISNA(VLOOKUP(B92,Master!BD$59:BP$106,4,FALSE)),"",VLOOKUP(B92,Master!BD$59:BP$106,4,FALSE))</f>
        <v/>
      </c>
      <c r="G92" s="211" t="str">
        <f>IF(ISNA(VLOOKUP(B92,Master!BD$59:BP$106,5,FALSE)),"",VLOOKUP(B92,Master!BD$59:BP$106,5,FALSE))</f>
        <v/>
      </c>
      <c r="H92" s="185" t="str">
        <f t="shared" si="127"/>
        <v/>
      </c>
      <c r="I92" s="179" t="str">
        <f t="shared" si="128"/>
        <v/>
      </c>
      <c r="J92" s="181" t="str">
        <f t="shared" si="129"/>
        <v/>
      </c>
      <c r="K92" s="179" t="str">
        <f t="shared" si="130"/>
        <v/>
      </c>
      <c r="L92" s="179" t="str">
        <f t="shared" si="131"/>
        <v/>
      </c>
      <c r="M92" s="179" t="str">
        <f t="shared" si="132"/>
        <v/>
      </c>
      <c r="N92" s="185" t="str">
        <f t="shared" si="133"/>
        <v/>
      </c>
      <c r="O92" s="267"/>
      <c r="P92" s="267"/>
      <c r="Q92" s="267"/>
      <c r="R92" s="267">
        <v>0</v>
      </c>
      <c r="S92" s="102"/>
      <c r="T92" s="133"/>
      <c r="U92" s="125"/>
      <c r="V92" s="125"/>
      <c r="W92" s="133"/>
      <c r="X92" s="125">
        <f>'[1]Data Entry'!BJ66</f>
        <v>0</v>
      </c>
      <c r="Y92" s="129"/>
      <c r="Z92" s="129"/>
      <c r="AA92" s="129"/>
      <c r="AB92" s="129"/>
      <c r="AC92" s="129"/>
      <c r="AD92" s="129"/>
      <c r="AE92" s="130" t="str">
        <f t="shared" si="134"/>
        <v/>
      </c>
      <c r="AF92" s="130" t="str">
        <f t="shared" si="135"/>
        <v/>
      </c>
      <c r="AG92" s="130" t="str">
        <f t="shared" si="136"/>
        <v/>
      </c>
      <c r="AH92" s="130" t="str">
        <f t="shared" si="137"/>
        <v/>
      </c>
      <c r="AI92" s="130" t="str">
        <f t="shared" si="138"/>
        <v/>
      </c>
      <c r="AJ92" s="128" t="str">
        <f t="shared" si="139"/>
        <v/>
      </c>
      <c r="AK92" s="128">
        <v>0</v>
      </c>
      <c r="AL92" s="129">
        <v>0</v>
      </c>
      <c r="AM92" s="128" t="str">
        <f t="shared" si="140"/>
        <v/>
      </c>
      <c r="AN92" s="129">
        <f t="shared" si="108"/>
        <v>0</v>
      </c>
      <c r="AO92" s="128">
        <f t="shared" si="109"/>
        <v>0</v>
      </c>
      <c r="AP92" s="128">
        <f t="shared" si="110"/>
        <v>0</v>
      </c>
      <c r="AQ92" s="128"/>
      <c r="AR92" s="128">
        <f t="shared" si="111"/>
        <v>0</v>
      </c>
      <c r="AS92" s="130" t="str">
        <f t="shared" si="141"/>
        <v/>
      </c>
      <c r="AT92" s="130" t="str">
        <f t="shared" si="142"/>
        <v/>
      </c>
      <c r="AU92" s="128"/>
      <c r="AV92" s="128"/>
      <c r="AW92" s="130" t="str">
        <f t="shared" si="143"/>
        <v/>
      </c>
      <c r="AX92" s="130" t="str">
        <f t="shared" si="144"/>
        <v/>
      </c>
      <c r="AY92" s="130" t="str">
        <f t="shared" si="145"/>
        <v/>
      </c>
      <c r="AZ92" s="130" t="str">
        <f t="shared" si="146"/>
        <v/>
      </c>
      <c r="BA92" s="130" t="str">
        <f t="shared" si="147"/>
        <v/>
      </c>
      <c r="BB92" s="128" t="str">
        <f t="shared" si="148"/>
        <v/>
      </c>
      <c r="BC92" s="128"/>
      <c r="BD92" s="129">
        <v>0</v>
      </c>
      <c r="BE92" s="128" t="str">
        <f t="shared" si="149"/>
        <v/>
      </c>
      <c r="BF92" s="129">
        <f t="shared" si="150"/>
        <v>0</v>
      </c>
      <c r="BG92" s="128">
        <f t="shared" si="151"/>
        <v>0</v>
      </c>
      <c r="BH92" s="128">
        <f t="shared" si="114"/>
        <v>0</v>
      </c>
      <c r="BI92" s="128">
        <f t="shared" si="115"/>
        <v>0</v>
      </c>
      <c r="BJ92" s="128" t="str">
        <f t="shared" si="116"/>
        <v/>
      </c>
      <c r="BK92" s="130" t="str">
        <f t="shared" si="152"/>
        <v/>
      </c>
      <c r="BL92" s="130" t="str">
        <f t="shared" si="153"/>
        <v/>
      </c>
      <c r="BM92" s="128"/>
      <c r="BN92" s="128"/>
      <c r="BO92" s="130" t="str">
        <f t="shared" si="154"/>
        <v/>
      </c>
      <c r="BP92" s="124">
        <f t="shared" si="117"/>
        <v>0</v>
      </c>
      <c r="BQ92" s="124">
        <f t="shared" si="155"/>
        <v>1</v>
      </c>
      <c r="BR92" s="124">
        <f t="shared" si="118"/>
        <v>0</v>
      </c>
      <c r="BS92" s="124">
        <f t="shared" si="119"/>
        <v>0</v>
      </c>
      <c r="BT92" s="124">
        <f t="shared" si="120"/>
        <v>0</v>
      </c>
      <c r="BU92" s="124">
        <f t="shared" si="121"/>
        <v>1</v>
      </c>
      <c r="BV92" s="110">
        <f t="shared" si="122"/>
        <v>0</v>
      </c>
      <c r="BW92" s="131">
        <f t="shared" si="123"/>
        <v>1</v>
      </c>
      <c r="BX92" s="110">
        <f t="shared" si="124"/>
        <v>0</v>
      </c>
      <c r="BY92" s="110">
        <f t="shared" si="125"/>
        <v>0</v>
      </c>
      <c r="BZ92" s="99" t="str">
        <f t="shared" si="126"/>
        <v/>
      </c>
      <c r="CA92" s="99"/>
      <c r="CB92" s="99"/>
      <c r="CC92" s="99"/>
      <c r="CD92" s="99"/>
      <c r="CE92" s="99"/>
      <c r="CF92" s="99"/>
      <c r="CG92" s="99"/>
      <c r="CH92" s="99"/>
      <c r="CI92" s="99"/>
      <c r="CJ92" s="99"/>
      <c r="CK92" s="99"/>
      <c r="CL92" s="99"/>
      <c r="CM92" s="99"/>
      <c r="CN92" s="99"/>
      <c r="CO92" s="99"/>
      <c r="CP92" s="99"/>
      <c r="CQ92" s="99"/>
      <c r="CR92" s="99"/>
      <c r="CS92" s="99"/>
      <c r="CT92" s="99"/>
      <c r="CU92" s="99"/>
      <c r="CV92" s="99"/>
      <c r="CW92" s="99"/>
      <c r="CX92" s="99"/>
    </row>
    <row r="93" spans="1:102" s="126" customFormat="1">
      <c r="A93" s="190"/>
      <c r="B93" s="191"/>
      <c r="C93" s="191"/>
      <c r="D93" s="191"/>
      <c r="E93" s="191"/>
      <c r="F93" s="187" t="s">
        <v>230</v>
      </c>
      <c r="G93" s="189"/>
      <c r="H93" s="189"/>
      <c r="I93" s="270">
        <f>SUM(I85:I92)</f>
        <v>0</v>
      </c>
      <c r="J93" s="270"/>
      <c r="K93" s="270">
        <f t="shared" ref="K93:M93" si="156">SUM(K85:K92)</f>
        <v>0</v>
      </c>
      <c r="L93" s="270">
        <f t="shared" si="156"/>
        <v>0</v>
      </c>
      <c r="M93" s="270">
        <f t="shared" si="156"/>
        <v>0</v>
      </c>
      <c r="N93" s="195"/>
      <c r="O93" s="265"/>
      <c r="P93" s="265"/>
      <c r="Q93" s="265"/>
      <c r="R93" s="265"/>
      <c r="S93" s="102"/>
      <c r="T93" s="133"/>
      <c r="U93" s="128"/>
      <c r="V93" s="128"/>
      <c r="W93" s="133"/>
      <c r="X93" s="128"/>
      <c r="Y93" s="128"/>
      <c r="Z93" s="128"/>
      <c r="AA93" s="128"/>
      <c r="AB93" s="128"/>
      <c r="AC93" s="128"/>
      <c r="AD93" s="128"/>
      <c r="AE93" s="130"/>
      <c r="AF93" s="130"/>
      <c r="AG93" s="130"/>
      <c r="AH93" s="130"/>
      <c r="AI93" s="130"/>
      <c r="AJ93" s="128"/>
      <c r="AK93" s="128"/>
      <c r="AL93" s="128"/>
      <c r="AM93" s="128"/>
      <c r="AN93" s="128"/>
      <c r="AO93" s="128"/>
      <c r="AP93" s="128"/>
      <c r="AQ93" s="128"/>
      <c r="AR93" s="128"/>
      <c r="AS93" s="130"/>
      <c r="AT93" s="130"/>
      <c r="AU93" s="128"/>
      <c r="AV93" s="128"/>
      <c r="AW93" s="130"/>
      <c r="AX93" s="130"/>
      <c r="AY93" s="130"/>
      <c r="AZ93" s="130"/>
      <c r="BA93" s="130"/>
      <c r="BB93" s="128"/>
      <c r="BC93" s="128"/>
      <c r="BD93" s="128"/>
      <c r="BE93" s="128"/>
      <c r="BF93" s="129"/>
      <c r="BG93" s="128"/>
      <c r="BH93" s="128"/>
      <c r="BI93" s="128"/>
      <c r="BJ93" s="128"/>
      <c r="BK93" s="130"/>
      <c r="BL93" s="130"/>
      <c r="BM93" s="128"/>
      <c r="BN93" s="128"/>
      <c r="BO93" s="130"/>
      <c r="BP93" s="124"/>
      <c r="BQ93" s="124"/>
      <c r="BR93" s="124"/>
      <c r="BS93" s="124"/>
      <c r="BT93" s="124"/>
      <c r="BU93" s="124"/>
      <c r="BV93" s="110"/>
      <c r="BW93" s="110"/>
      <c r="BX93" s="110"/>
      <c r="BY93" s="110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</row>
    <row r="94" spans="1:102" s="126" customFormat="1">
      <c r="A94" s="212"/>
      <c r="B94" s="611" t="s">
        <v>231</v>
      </c>
      <c r="C94" s="611"/>
      <c r="D94" s="611"/>
      <c r="E94" s="611"/>
      <c r="F94" s="611"/>
      <c r="G94" s="611"/>
      <c r="H94" s="611"/>
      <c r="I94" s="611"/>
      <c r="J94" s="611"/>
      <c r="K94" s="611"/>
      <c r="L94" s="611"/>
      <c r="M94" s="611"/>
      <c r="N94" s="612"/>
      <c r="O94" s="265"/>
      <c r="P94" s="265"/>
      <c r="Q94" s="265"/>
      <c r="R94" s="265"/>
      <c r="S94" s="102"/>
      <c r="T94" s="133"/>
      <c r="U94" s="128"/>
      <c r="V94" s="128"/>
      <c r="W94" s="133"/>
      <c r="X94" s="128"/>
      <c r="Y94" s="128"/>
      <c r="Z94" s="128"/>
      <c r="AA94" s="128"/>
      <c r="AB94" s="128"/>
      <c r="AC94" s="128"/>
      <c r="AD94" s="128"/>
      <c r="AE94" s="130"/>
      <c r="AF94" s="130"/>
      <c r="AG94" s="130"/>
      <c r="AH94" s="130"/>
      <c r="AI94" s="130"/>
      <c r="AJ94" s="128"/>
      <c r="AK94" s="128"/>
      <c r="AL94" s="128"/>
      <c r="AM94" s="128"/>
      <c r="AN94" s="128"/>
      <c r="AO94" s="128"/>
      <c r="AP94" s="128"/>
      <c r="AQ94" s="128"/>
      <c r="AR94" s="128"/>
      <c r="AS94" s="130"/>
      <c r="AT94" s="130"/>
      <c r="AU94" s="128"/>
      <c r="AV94" s="128"/>
      <c r="AW94" s="130"/>
      <c r="AX94" s="130"/>
      <c r="AY94" s="130"/>
      <c r="AZ94" s="130"/>
      <c r="BA94" s="130"/>
      <c r="BB94" s="128"/>
      <c r="BC94" s="128"/>
      <c r="BD94" s="128"/>
      <c r="BE94" s="128"/>
      <c r="BF94" s="129"/>
      <c r="BG94" s="128"/>
      <c r="BH94" s="128"/>
      <c r="BI94" s="128"/>
      <c r="BJ94" s="128"/>
      <c r="BK94" s="130"/>
      <c r="BL94" s="130"/>
      <c r="BM94" s="128"/>
      <c r="BN94" s="128"/>
      <c r="BO94" s="130"/>
      <c r="BP94" s="124"/>
      <c r="BQ94" s="124"/>
      <c r="BR94" s="124"/>
      <c r="BS94" s="124"/>
      <c r="BT94" s="124"/>
      <c r="BU94" s="124"/>
      <c r="BV94" s="110"/>
      <c r="BW94" s="110"/>
      <c r="BX94" s="110"/>
      <c r="BY94" s="110"/>
      <c r="BZ94" s="99"/>
      <c r="CA94" s="99"/>
      <c r="CB94" s="99"/>
      <c r="CC94" s="99"/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99"/>
      <c r="CQ94" s="99"/>
      <c r="CR94" s="99"/>
      <c r="CS94" s="99"/>
      <c r="CT94" s="99"/>
      <c r="CU94" s="99"/>
      <c r="CV94" s="99"/>
      <c r="CW94" s="99"/>
      <c r="CX94" s="99"/>
    </row>
    <row r="95" spans="1:102" s="126" customFormat="1" ht="18.75">
      <c r="A95" s="179">
        <v>2202</v>
      </c>
      <c r="B95" s="179">
        <v>1</v>
      </c>
      <c r="C95" s="180" t="str">
        <f>IF(ISNA(VLOOKUP(B95,Master!BQ$59:CC$106,3,FALSE)),"",VLOOKUP(B95,Master!BQ$59:CC$106,3,FALSE))</f>
        <v>lqeu dqekjh lSuh</v>
      </c>
      <c r="D95" s="181" t="str">
        <f>IF(ISNA(VLOOKUP(B95,Master!BQ$59:CC$106,7,FALSE)),"",VLOOKUP(B95,Master!BQ$59:CC$106,7,FALSE))</f>
        <v>RJPA198329015446</v>
      </c>
      <c r="E95" s="181">
        <f>IF(ISNA(VLOOKUP(B95,Master!BQ$59:CC$106,8,FALSE)),"",VLOOKUP(B95,Master!BQ$59:CC$106,8,FALSE))</f>
        <v>479404</v>
      </c>
      <c r="F95" s="183" t="str">
        <f>IF(ISNA(VLOOKUP(B95,Master!BQ$59:CC$106,4,FALSE)),"",VLOOKUP(B95,Master!BQ$59:CC$106,4,FALSE))</f>
        <v>TEACHER-II</v>
      </c>
      <c r="G95" s="211">
        <f>IF(ISNA(VLOOKUP(B95,Master!BQ$59:CC$106,5,FALSE)),"",VLOOKUP(B95,Master!BQ$59:CC$106,5,FALSE))</f>
        <v>11</v>
      </c>
      <c r="H95" s="185">
        <f>IF(ISNA(VLOOKUP(B95,Master!BQ$59:CC$106,6,FALSE)),"",VLOOKUP(B95,Master!BQ$59:CC$106,6,FALSE))</f>
        <v>26500</v>
      </c>
      <c r="I95" s="179">
        <f>IF(AND(G95=""),"",H95*12)</f>
        <v>318000</v>
      </c>
      <c r="J95" s="181" t="str">
        <f>IF(AND(G95=""),"","Not Applicable")</f>
        <v>Not Applicable</v>
      </c>
      <c r="K95" s="179" t="str">
        <f>IF(AND(G95=""),"","0")</f>
        <v>0</v>
      </c>
      <c r="L95" s="179">
        <f>IF(AND(G95=""),"",I95+K95)</f>
        <v>318000</v>
      </c>
      <c r="M95" s="179">
        <f>IF(AND(G95=""),"",L95)</f>
        <v>318000</v>
      </c>
      <c r="N95" s="185" t="str">
        <f>IF(AND(G95=""),"","FIX PAY")</f>
        <v>FIX PAY</v>
      </c>
      <c r="O95" s="267"/>
      <c r="P95" s="267"/>
      <c r="Q95" s="267"/>
      <c r="R95" s="267">
        <v>0</v>
      </c>
      <c r="S95" s="102"/>
      <c r="T95" s="133"/>
      <c r="U95" s="125"/>
      <c r="V95" s="125"/>
      <c r="W95" s="133"/>
      <c r="X95" s="125">
        <f>'[1]Data Entry'!CP100</f>
        <v>0</v>
      </c>
      <c r="Y95" s="129"/>
      <c r="Z95" s="129"/>
      <c r="AA95" s="129"/>
      <c r="AB95" s="129"/>
      <c r="AC95" s="129"/>
      <c r="AD95" s="129"/>
      <c r="AE95" s="130">
        <f t="shared" si="134"/>
        <v>0</v>
      </c>
      <c r="AF95" s="130">
        <f t="shared" si="135"/>
        <v>0</v>
      </c>
      <c r="AG95" s="130">
        <f t="shared" si="136"/>
        <v>0</v>
      </c>
      <c r="AH95" s="130">
        <f t="shared" si="137"/>
        <v>0</v>
      </c>
      <c r="AI95" s="130">
        <f t="shared" si="138"/>
        <v>318000</v>
      </c>
      <c r="AJ95" s="128">
        <f t="shared" si="139"/>
        <v>0</v>
      </c>
      <c r="AK95" s="128">
        <v>0</v>
      </c>
      <c r="AL95" s="129">
        <v>0</v>
      </c>
      <c r="AM95" s="128">
        <f t="shared" si="140"/>
        <v>0</v>
      </c>
      <c r="AN95" s="129">
        <f t="shared" ref="AN95:AN103" si="157">$F$78*BQ95*BT95*(IF(H95&lt;=0,0,1))*(IF(G95&lt;=4800,1,0))</f>
        <v>0</v>
      </c>
      <c r="AO95" s="128">
        <f t="shared" si="109"/>
        <v>0</v>
      </c>
      <c r="AP95" s="128">
        <f t="shared" ref="AP95:AP103" si="158">IF(F95="CLERK GRADE I",1,IF(F95="CLERK GRADE II",1,0))*75*12*BT95*(IF(H95&lt;=0,0,1))*BU95</f>
        <v>0</v>
      </c>
      <c r="AQ95" s="128"/>
      <c r="AR95" s="128">
        <f t="shared" ref="AR95:AR103" si="159">(IF(F95="LAB BOY",150,IF(F95="JAMADAR",150,IF(F95="PEON",150,0))))*12*BT95*(IF(H95&lt;=0,0,1))</f>
        <v>0</v>
      </c>
      <c r="AS95" s="130">
        <f t="shared" si="141"/>
        <v>0</v>
      </c>
      <c r="AT95" s="130">
        <f t="shared" si="142"/>
        <v>0</v>
      </c>
      <c r="AU95" s="128"/>
      <c r="AV95" s="128"/>
      <c r="AW95" s="130">
        <f t="shared" si="143"/>
        <v>0</v>
      </c>
      <c r="AX95" s="130">
        <f t="shared" si="144"/>
        <v>0</v>
      </c>
      <c r="AY95" s="130">
        <f t="shared" si="145"/>
        <v>0</v>
      </c>
      <c r="AZ95" s="130">
        <f t="shared" si="146"/>
        <v>0</v>
      </c>
      <c r="BA95" s="130">
        <f t="shared" si="147"/>
        <v>318000</v>
      </c>
      <c r="BB95" s="128">
        <f t="shared" si="148"/>
        <v>0</v>
      </c>
      <c r="BC95" s="128"/>
      <c r="BD95" s="129">
        <v>0</v>
      </c>
      <c r="BE95" s="128">
        <f t="shared" si="149"/>
        <v>0</v>
      </c>
      <c r="BF95" s="129">
        <f t="shared" si="150"/>
        <v>0</v>
      </c>
      <c r="BG95" s="128">
        <f t="shared" si="151"/>
        <v>0</v>
      </c>
      <c r="BH95" s="128">
        <f t="shared" ref="BH95:BH103" si="160">IF(F95="CLERK GRADE I",1,IF(F95="CLERK GRADE II",1,0))*75*12*BT95*(IF(H95&lt;=0,0,1))*BU95</f>
        <v>0</v>
      </c>
      <c r="BI95" s="128">
        <f t="shared" ref="BI95:BI103" si="161">IF(AND(F95=""),0,(IF(F95="ASSISTANT",12,IF(F95="CLERK GRADE I",12,IF(F95="CLERK GRADE II",12,IF(F95="FIELDMAN &amp; FIELD REC",12,IF(F95="LAB BOY",12,IF(F95="JAMADAR",12,IF(F95="PEON",12,10))))))))*(MINA(ROUND(AE95*6%,0),600))*(IF($T95="yes",1,)))</f>
        <v>0</v>
      </c>
      <c r="BJ95" s="128">
        <f t="shared" ref="BJ95:BJ103" si="162">IF(AND(H95=""),"",(IF(F95="LAB BOY",150,IF(F95="JAMADAR",150,IF(F95="PEON",150,0))))*12*BT95*(IF(H95&lt;=0,0,1)))</f>
        <v>0</v>
      </c>
      <c r="BK95" s="130">
        <f t="shared" si="152"/>
        <v>0</v>
      </c>
      <c r="BL95" s="130">
        <f t="shared" si="153"/>
        <v>0</v>
      </c>
      <c r="BM95" s="128"/>
      <c r="BN95" s="128"/>
      <c r="BO95" s="130">
        <f t="shared" si="154"/>
        <v>0</v>
      </c>
      <c r="BP95" s="124">
        <f t="shared" ref="BP95:BP103" si="163">(IF(F95="PRINCIPAL",1,IF(F95="H M",1,IF(F95="AGRICULTURE INST",1,IF(F95="TEACHER-1ST",1,IF(F95="PTI  I  (13)",1,IF(F95="AGRICULTURE TEACH",1,IF(F95="INSTRUCTOR",1,0))))))))+(IF(F95="JR TEACHER",1,IF(F95="LIBRARIAN I",1,0)))*(IF(N95="FIX PAY",0,1))</f>
        <v>0</v>
      </c>
      <c r="BQ95" s="124">
        <f t="shared" ref="BQ95:BQ103" si="164">IF(BP95&lt;=0,1,0)*(IF(N95="FIX PAY",0,1))</f>
        <v>0</v>
      </c>
      <c r="BR95" s="124">
        <f t="shared" ref="BR95:BR103" si="165">(IF(F95="PRINCIPAL (16)",1,IF(F95="V P (14)",1,IF(F95="H M (14)",1,IF(F95="AGRICULTURE INST (13)",1,IF(F95="TEACHER-1ST (13)",1,IF(F95="PTI  I  (13)",1,IF(F95="AGRICULTURE TEACH (13)",1,IF(F95="INSTRUCTOR (13)",1,0))))))))+(IF(F95="JR TEACHER (13)",1,IF(F95="LIBRARIAN I (13)",1,0))))*(IF(N95="FIX PAY",1,0))</f>
        <v>0</v>
      </c>
      <c r="BS95" s="124">
        <f t="shared" ref="BS95:BS103" si="166">IF(BR95&lt;=0,1,0)*(IF(N95="FIX PAY",1,0))</f>
        <v>1</v>
      </c>
      <c r="BT95" s="124">
        <f t="shared" si="120"/>
        <v>1</v>
      </c>
      <c r="BU95" s="124">
        <f t="shared" ref="BU95:BU103" si="167">IF(W95="No",0,1)</f>
        <v>1</v>
      </c>
      <c r="BV95" s="110">
        <f t="shared" ref="BV95:BV103" si="168">IF((ROUND((SUMPRODUCT(MID(0&amp;D95,LARGE(INDEX(ISNUMBER(--MID(D95,ROW($1:$25),1))* ROW($1:$25),0),ROW($1:$25))+1,1)*10^ROW($1:$25)/10)),-8)/100000000)&gt;=2004,1,0)</f>
        <v>0</v>
      </c>
      <c r="BW95" s="131">
        <f t="shared" ref="BW95:BW103" si="169">IF(H95&lt;=0,0,1)</f>
        <v>1</v>
      </c>
      <c r="BX95" s="110">
        <f t="shared" si="124"/>
        <v>0</v>
      </c>
      <c r="BY95" s="110">
        <f t="shared" si="125"/>
        <v>0</v>
      </c>
      <c r="BZ95" s="99">
        <f t="shared" ref="BZ95:BZ103" si="170">IF(AND(D95=""),"",IF(AND(D95&lt;=0),"",IF((ROUND((SUMPRODUCT(MID(0&amp;D95,LARGE(INDEX(ISNUMBER(--MID(D95,ROW($1:$70),1))* ROW($1:$70),0),ROW($1:$70))+1,1)*10^ROW($1:$70)/10)),-8)/100000000)&lt;2004,1,0)))</f>
        <v>1</v>
      </c>
      <c r="CA95" s="99"/>
      <c r="CB95" s="99"/>
      <c r="CC95" s="99"/>
      <c r="CD95" s="99"/>
      <c r="CE95" s="99"/>
      <c r="CF95" s="99"/>
      <c r="CG95" s="99"/>
      <c r="CH95" s="99"/>
      <c r="CI95" s="99"/>
      <c r="CJ95" s="99"/>
      <c r="CK95" s="99"/>
      <c r="CL95" s="99"/>
      <c r="CM95" s="99"/>
      <c r="CN95" s="99"/>
      <c r="CO95" s="99"/>
      <c r="CP95" s="99"/>
      <c r="CQ95" s="99"/>
      <c r="CR95" s="99"/>
      <c r="CS95" s="99"/>
      <c r="CT95" s="99"/>
      <c r="CU95" s="99"/>
      <c r="CV95" s="99"/>
      <c r="CW95" s="99"/>
      <c r="CX95" s="99"/>
    </row>
    <row r="96" spans="1:102" s="126" customFormat="1" ht="18.75">
      <c r="A96" s="179">
        <v>2202</v>
      </c>
      <c r="B96" s="179">
        <v>2</v>
      </c>
      <c r="C96" s="180" t="str">
        <f>IF(ISNA(VLOOKUP(B96,Master!BQ$59:CC$106,3,FALSE)),"",VLOOKUP(B96,Master!BQ$59:CC$106,3,FALSE))</f>
        <v>_f"kds'k</v>
      </c>
      <c r="D96" s="181" t="str">
        <f>IF(ISNA(VLOOKUP(B96,Master!BQ$59:CC$106,7,FALSE)),"",VLOOKUP(B96,Master!BQ$59:CC$106,7,FALSE))</f>
        <v>RJPA199629006201</v>
      </c>
      <c r="E96" s="181">
        <f>IF(ISNA(VLOOKUP(B96,Master!BQ$59:CC$106,8,FALSE)),"",VLOOKUP(B96,Master!BQ$59:CC$106,8,FALSE))</f>
        <v>865777</v>
      </c>
      <c r="F96" s="183" t="str">
        <f>IF(ISNA(VLOOKUP(B96,Master!BQ$59:CC$106,4,FALSE)),"",VLOOKUP(B96,Master!BQ$59:CC$106,4,FALSE))</f>
        <v>TEACHER-III</v>
      </c>
      <c r="G96" s="211">
        <f>IF(ISNA(VLOOKUP(B96,Master!BQ$59:CC$106,5,FALSE)),"",VLOOKUP(B96,Master!BQ$59:CC$106,5,FALSE))</f>
        <v>10</v>
      </c>
      <c r="H96" s="185">
        <f>IF(ISNA(VLOOKUP(B96,Master!BQ$59:CC$106,6,FALSE)),"",VLOOKUP(B96,Master!BQ$59:CC$106,6,FALSE))</f>
        <v>2370</v>
      </c>
      <c r="I96" s="179">
        <f t="shared" ref="I96:I103" si="171">IF(AND(G96=""),"",H96*12)</f>
        <v>28440</v>
      </c>
      <c r="J96" s="181" t="str">
        <f t="shared" ref="J96:J103" si="172">IF(AND(G96=""),"","Not Applicable")</f>
        <v>Not Applicable</v>
      </c>
      <c r="K96" s="179" t="str">
        <f t="shared" ref="K96:K103" si="173">IF(AND(G96=""),"","0")</f>
        <v>0</v>
      </c>
      <c r="L96" s="179">
        <f t="shared" ref="L96:L103" si="174">IF(AND(G96=""),"",I96+K96)</f>
        <v>28440</v>
      </c>
      <c r="M96" s="179">
        <f t="shared" ref="M96:M103" si="175">IF(AND(G96=""),"",L96)</f>
        <v>28440</v>
      </c>
      <c r="N96" s="185" t="str">
        <f t="shared" ref="N96:N103" si="176">IF(AND(G96=""),"","FIX PAY")</f>
        <v>FIX PAY</v>
      </c>
      <c r="O96" s="267"/>
      <c r="P96" s="267"/>
      <c r="Q96" s="267"/>
      <c r="R96" s="267">
        <v>0</v>
      </c>
      <c r="S96" s="102"/>
      <c r="T96" s="133"/>
      <c r="U96" s="125"/>
      <c r="V96" s="125"/>
      <c r="W96" s="133"/>
      <c r="X96" s="125">
        <f>'[1]Data Entry'!CP101</f>
        <v>0</v>
      </c>
      <c r="Y96" s="129"/>
      <c r="Z96" s="129"/>
      <c r="AA96" s="129"/>
      <c r="AB96" s="129"/>
      <c r="AC96" s="129"/>
      <c r="AD96" s="129"/>
      <c r="AE96" s="130">
        <f t="shared" si="134"/>
        <v>0</v>
      </c>
      <c r="AF96" s="130">
        <f t="shared" si="135"/>
        <v>0</v>
      </c>
      <c r="AG96" s="130">
        <f t="shared" si="136"/>
        <v>0</v>
      </c>
      <c r="AH96" s="130">
        <f t="shared" si="137"/>
        <v>0</v>
      </c>
      <c r="AI96" s="130">
        <f t="shared" si="138"/>
        <v>28440</v>
      </c>
      <c r="AJ96" s="128">
        <f t="shared" si="139"/>
        <v>0</v>
      </c>
      <c r="AK96" s="128">
        <v>0</v>
      </c>
      <c r="AL96" s="129">
        <v>0</v>
      </c>
      <c r="AM96" s="128">
        <f t="shared" si="140"/>
        <v>0</v>
      </c>
      <c r="AN96" s="129">
        <f t="shared" si="157"/>
        <v>0</v>
      </c>
      <c r="AO96" s="128">
        <f t="shared" si="109"/>
        <v>0</v>
      </c>
      <c r="AP96" s="128">
        <f t="shared" si="158"/>
        <v>0</v>
      </c>
      <c r="AQ96" s="128"/>
      <c r="AR96" s="128">
        <f t="shared" si="159"/>
        <v>0</v>
      </c>
      <c r="AS96" s="130">
        <f t="shared" si="141"/>
        <v>0</v>
      </c>
      <c r="AT96" s="130">
        <f t="shared" si="142"/>
        <v>0</v>
      </c>
      <c r="AU96" s="128"/>
      <c r="AV96" s="128"/>
      <c r="AW96" s="130">
        <f t="shared" si="143"/>
        <v>0</v>
      </c>
      <c r="AX96" s="130">
        <f t="shared" si="144"/>
        <v>0</v>
      </c>
      <c r="AY96" s="130">
        <f t="shared" si="145"/>
        <v>0</v>
      </c>
      <c r="AZ96" s="130">
        <f t="shared" si="146"/>
        <v>0</v>
      </c>
      <c r="BA96" s="130">
        <f t="shared" si="147"/>
        <v>28440</v>
      </c>
      <c r="BB96" s="128">
        <f t="shared" si="148"/>
        <v>0</v>
      </c>
      <c r="BC96" s="128"/>
      <c r="BD96" s="129">
        <v>0</v>
      </c>
      <c r="BE96" s="128">
        <f t="shared" si="149"/>
        <v>0</v>
      </c>
      <c r="BF96" s="129">
        <f t="shared" si="150"/>
        <v>0</v>
      </c>
      <c r="BG96" s="128">
        <f t="shared" si="151"/>
        <v>0</v>
      </c>
      <c r="BH96" s="128">
        <f t="shared" si="160"/>
        <v>0</v>
      </c>
      <c r="BI96" s="128">
        <f t="shared" si="161"/>
        <v>0</v>
      </c>
      <c r="BJ96" s="128">
        <f t="shared" si="162"/>
        <v>0</v>
      </c>
      <c r="BK96" s="130">
        <f t="shared" si="152"/>
        <v>0</v>
      </c>
      <c r="BL96" s="130">
        <f t="shared" si="153"/>
        <v>0</v>
      </c>
      <c r="BM96" s="128"/>
      <c r="BN96" s="128"/>
      <c r="BO96" s="130">
        <f t="shared" si="154"/>
        <v>0</v>
      </c>
      <c r="BP96" s="124">
        <f t="shared" si="163"/>
        <v>0</v>
      </c>
      <c r="BQ96" s="124">
        <f t="shared" si="164"/>
        <v>0</v>
      </c>
      <c r="BR96" s="124">
        <f t="shared" si="165"/>
        <v>0</v>
      </c>
      <c r="BS96" s="124">
        <f t="shared" si="166"/>
        <v>1</v>
      </c>
      <c r="BT96" s="124">
        <f t="shared" si="120"/>
        <v>1</v>
      </c>
      <c r="BU96" s="124">
        <f t="shared" si="167"/>
        <v>1</v>
      </c>
      <c r="BV96" s="110">
        <f t="shared" si="168"/>
        <v>0</v>
      </c>
      <c r="BW96" s="131">
        <f t="shared" si="169"/>
        <v>1</v>
      </c>
      <c r="BX96" s="110">
        <f t="shared" si="124"/>
        <v>0</v>
      </c>
      <c r="BY96" s="110">
        <f t="shared" si="125"/>
        <v>0</v>
      </c>
      <c r="BZ96" s="99">
        <f t="shared" si="170"/>
        <v>1</v>
      </c>
      <c r="CA96" s="99"/>
      <c r="CB96" s="99"/>
      <c r="CC96" s="99"/>
      <c r="CD96" s="99"/>
      <c r="CE96" s="99"/>
      <c r="CF96" s="99"/>
      <c r="CG96" s="99"/>
      <c r="CH96" s="99"/>
      <c r="CI96" s="99"/>
      <c r="CJ96" s="99"/>
      <c r="CK96" s="99"/>
      <c r="CL96" s="99"/>
      <c r="CM96" s="99"/>
      <c r="CN96" s="99"/>
      <c r="CO96" s="99"/>
      <c r="CP96" s="99"/>
      <c r="CQ96" s="99"/>
      <c r="CR96" s="99"/>
      <c r="CS96" s="99"/>
      <c r="CT96" s="99"/>
      <c r="CU96" s="99"/>
      <c r="CV96" s="99"/>
      <c r="CW96" s="99"/>
      <c r="CX96" s="99"/>
    </row>
    <row r="97" spans="1:102" s="126" customFormat="1" ht="18.75">
      <c r="A97" s="179">
        <v>2202</v>
      </c>
      <c r="B97" s="179">
        <v>3</v>
      </c>
      <c r="C97" s="180" t="str">
        <f>IF(ISNA(VLOOKUP(B97,Master!BQ$59:CC$106,3,FALSE)),"",VLOOKUP(B97,Master!BQ$59:CC$106,3,FALSE))</f>
        <v>in fjDr</v>
      </c>
      <c r="D97" s="181" t="str">
        <f>IF(ISNA(VLOOKUP(B97,Master!BQ$59:CC$106,7,FALSE)),"",VLOOKUP(B97,Master!BQ$59:CC$106,7,FALSE))</f>
        <v>RJPA197629001881</v>
      </c>
      <c r="E97" s="181">
        <f>IF(ISNA(VLOOKUP(B97,Master!BQ$59:CC$106,8,FALSE)),"",VLOOKUP(B97,Master!BQ$59:CC$106,8,FALSE))</f>
        <v>479427</v>
      </c>
      <c r="F97" s="183" t="str">
        <f>IF(ISNA(VLOOKUP(B97,Master!BQ$59:CC$106,4,FALSE)),"",VLOOKUP(B97,Master!BQ$59:CC$106,4,FALSE))</f>
        <v>LAB BOY</v>
      </c>
      <c r="G97" s="211">
        <f>IF(ISNA(VLOOKUP(B97,Master!BQ$59:CC$106,5,FALSE)),"",VLOOKUP(B97,Master!BQ$59:CC$106,5,FALSE))</f>
        <v>0</v>
      </c>
      <c r="H97" s="185">
        <f>IF(ISNA(VLOOKUP(B97,Master!BQ$59:CC$106,6,FALSE)),"",VLOOKUP(B97,Master!BQ$59:CC$106,6,FALSE))</f>
        <v>0</v>
      </c>
      <c r="I97" s="179">
        <f t="shared" si="171"/>
        <v>0</v>
      </c>
      <c r="J97" s="181" t="str">
        <f t="shared" si="172"/>
        <v>Not Applicable</v>
      </c>
      <c r="K97" s="179" t="str">
        <f t="shared" si="173"/>
        <v>0</v>
      </c>
      <c r="L97" s="179">
        <f t="shared" si="174"/>
        <v>0</v>
      </c>
      <c r="M97" s="179">
        <f t="shared" si="175"/>
        <v>0</v>
      </c>
      <c r="N97" s="185" t="str">
        <f t="shared" si="176"/>
        <v>FIX PAY</v>
      </c>
      <c r="O97" s="267"/>
      <c r="P97" s="267"/>
      <c r="Q97" s="267"/>
      <c r="R97" s="267">
        <v>0</v>
      </c>
      <c r="S97" s="102"/>
      <c r="T97" s="133"/>
      <c r="U97" s="125"/>
      <c r="V97" s="125"/>
      <c r="W97" s="133"/>
      <c r="X97" s="125">
        <f>'[1]Data Entry'!CP102</f>
        <v>0</v>
      </c>
      <c r="Y97" s="129"/>
      <c r="Z97" s="129"/>
      <c r="AA97" s="129"/>
      <c r="AB97" s="129"/>
      <c r="AC97" s="129"/>
      <c r="AD97" s="129"/>
      <c r="AE97" s="130">
        <f t="shared" si="134"/>
        <v>0</v>
      </c>
      <c r="AF97" s="130">
        <f t="shared" si="135"/>
        <v>0</v>
      </c>
      <c r="AG97" s="130">
        <f t="shared" si="136"/>
        <v>0</v>
      </c>
      <c r="AH97" s="130">
        <f t="shared" si="137"/>
        <v>0</v>
      </c>
      <c r="AI97" s="130">
        <f t="shared" si="138"/>
        <v>0</v>
      </c>
      <c r="AJ97" s="128">
        <f t="shared" si="139"/>
        <v>0</v>
      </c>
      <c r="AK97" s="128">
        <v>0</v>
      </c>
      <c r="AL97" s="129">
        <v>0</v>
      </c>
      <c r="AM97" s="128">
        <f t="shared" si="140"/>
        <v>0</v>
      </c>
      <c r="AN97" s="129">
        <f t="shared" si="157"/>
        <v>0</v>
      </c>
      <c r="AO97" s="128">
        <f t="shared" si="109"/>
        <v>0</v>
      </c>
      <c r="AP97" s="128">
        <f t="shared" si="158"/>
        <v>0</v>
      </c>
      <c r="AQ97" s="128"/>
      <c r="AR97" s="128">
        <f t="shared" si="159"/>
        <v>0</v>
      </c>
      <c r="AS97" s="130">
        <f t="shared" si="141"/>
        <v>0</v>
      </c>
      <c r="AT97" s="130">
        <f t="shared" si="142"/>
        <v>0</v>
      </c>
      <c r="AU97" s="128"/>
      <c r="AV97" s="128"/>
      <c r="AW97" s="130">
        <f t="shared" si="143"/>
        <v>0</v>
      </c>
      <c r="AX97" s="130">
        <f t="shared" si="144"/>
        <v>0</v>
      </c>
      <c r="AY97" s="130">
        <f t="shared" si="145"/>
        <v>0</v>
      </c>
      <c r="AZ97" s="130">
        <f t="shared" si="146"/>
        <v>0</v>
      </c>
      <c r="BA97" s="130">
        <f t="shared" si="147"/>
        <v>0</v>
      </c>
      <c r="BB97" s="128">
        <f t="shared" si="148"/>
        <v>0</v>
      </c>
      <c r="BC97" s="128"/>
      <c r="BD97" s="129">
        <v>0</v>
      </c>
      <c r="BE97" s="128">
        <f t="shared" si="149"/>
        <v>0</v>
      </c>
      <c r="BF97" s="129">
        <f t="shared" si="150"/>
        <v>0</v>
      </c>
      <c r="BG97" s="128">
        <f t="shared" si="151"/>
        <v>0</v>
      </c>
      <c r="BH97" s="128">
        <f t="shared" si="160"/>
        <v>0</v>
      </c>
      <c r="BI97" s="128">
        <f t="shared" si="161"/>
        <v>0</v>
      </c>
      <c r="BJ97" s="128">
        <f t="shared" si="162"/>
        <v>0</v>
      </c>
      <c r="BK97" s="130">
        <f t="shared" si="152"/>
        <v>0</v>
      </c>
      <c r="BL97" s="130">
        <f t="shared" si="153"/>
        <v>0</v>
      </c>
      <c r="BM97" s="128"/>
      <c r="BN97" s="128"/>
      <c r="BO97" s="130">
        <f t="shared" si="154"/>
        <v>0</v>
      </c>
      <c r="BP97" s="124">
        <f t="shared" si="163"/>
        <v>0</v>
      </c>
      <c r="BQ97" s="124">
        <f t="shared" si="164"/>
        <v>0</v>
      </c>
      <c r="BR97" s="124">
        <f t="shared" si="165"/>
        <v>0</v>
      </c>
      <c r="BS97" s="124">
        <f t="shared" si="166"/>
        <v>1</v>
      </c>
      <c r="BT97" s="124">
        <f t="shared" si="120"/>
        <v>1</v>
      </c>
      <c r="BU97" s="124">
        <f t="shared" si="167"/>
        <v>1</v>
      </c>
      <c r="BV97" s="110">
        <f t="shared" si="168"/>
        <v>0</v>
      </c>
      <c r="BW97" s="131">
        <f t="shared" si="169"/>
        <v>0</v>
      </c>
      <c r="BX97" s="110">
        <f t="shared" si="124"/>
        <v>0</v>
      </c>
      <c r="BY97" s="110">
        <f t="shared" si="125"/>
        <v>0</v>
      </c>
      <c r="BZ97" s="99">
        <f t="shared" si="170"/>
        <v>1</v>
      </c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99"/>
      <c r="CU97" s="99"/>
      <c r="CV97" s="99"/>
      <c r="CW97" s="99"/>
      <c r="CX97" s="99"/>
    </row>
    <row r="98" spans="1:102" s="126" customFormat="1" ht="18.75">
      <c r="A98" s="179">
        <v>2202</v>
      </c>
      <c r="B98" s="179">
        <v>4</v>
      </c>
      <c r="C98" s="180" t="str">
        <f>IF(ISNA(VLOOKUP(B98,Master!BQ$59:CC$106,3,FALSE)),"",VLOOKUP(B98,Master!BQ$59:CC$106,3,FALSE))</f>
        <v/>
      </c>
      <c r="D98" s="181" t="str">
        <f>IF(ISNA(VLOOKUP(B98,Master!BQ$59:CC$106,7,FALSE)),"",VLOOKUP(B98,Master!BQ$59:CC$106,7,FALSE))</f>
        <v/>
      </c>
      <c r="E98" s="181" t="str">
        <f>IF(ISNA(VLOOKUP(B98,Master!BQ$59:CC$106,8,FALSE)),"",VLOOKUP(B98,Master!BQ$59:CC$106,8,FALSE))</f>
        <v/>
      </c>
      <c r="F98" s="183" t="str">
        <f>IF(ISNA(VLOOKUP(B98,Master!BQ$59:CC$106,4,FALSE)),"",VLOOKUP(B98,Master!BQ$59:CC$106,4,FALSE))</f>
        <v/>
      </c>
      <c r="G98" s="211" t="str">
        <f>IF(ISNA(VLOOKUP(B98,Master!BQ$59:CC$106,5,FALSE)),"",VLOOKUP(B98,Master!BQ$59:CC$106,5,FALSE))</f>
        <v/>
      </c>
      <c r="H98" s="185" t="str">
        <f>IF(ISNA(VLOOKUP(B98,Master!BQ$59:CC$106,6,FALSE)),"",VLOOKUP(B98,Master!BQ$59:CC$106,6,FALSE))</f>
        <v/>
      </c>
      <c r="I98" s="179" t="str">
        <f t="shared" si="171"/>
        <v/>
      </c>
      <c r="J98" s="181" t="str">
        <f t="shared" si="172"/>
        <v/>
      </c>
      <c r="K98" s="179" t="str">
        <f t="shared" si="173"/>
        <v/>
      </c>
      <c r="L98" s="179" t="str">
        <f t="shared" si="174"/>
        <v/>
      </c>
      <c r="M98" s="179" t="str">
        <f t="shared" si="175"/>
        <v/>
      </c>
      <c r="N98" s="185" t="str">
        <f t="shared" si="176"/>
        <v/>
      </c>
      <c r="O98" s="267"/>
      <c r="P98" s="267"/>
      <c r="Q98" s="267"/>
      <c r="R98" s="267">
        <v>0</v>
      </c>
      <c r="S98" s="102"/>
      <c r="T98" s="133"/>
      <c r="U98" s="125"/>
      <c r="V98" s="125"/>
      <c r="W98" s="133"/>
      <c r="X98" s="125">
        <f>'[1]Data Entry'!CP103</f>
        <v>0</v>
      </c>
      <c r="Y98" s="129"/>
      <c r="Z98" s="129"/>
      <c r="AA98" s="129"/>
      <c r="AB98" s="129"/>
      <c r="AC98" s="129"/>
      <c r="AD98" s="129"/>
      <c r="AE98" s="130" t="str">
        <f t="shared" si="134"/>
        <v/>
      </c>
      <c r="AF98" s="130" t="str">
        <f t="shared" si="135"/>
        <v/>
      </c>
      <c r="AG98" s="130" t="str">
        <f t="shared" si="136"/>
        <v/>
      </c>
      <c r="AH98" s="130" t="str">
        <f t="shared" si="137"/>
        <v/>
      </c>
      <c r="AI98" s="130" t="str">
        <f t="shared" si="138"/>
        <v/>
      </c>
      <c r="AJ98" s="128" t="str">
        <f t="shared" si="139"/>
        <v/>
      </c>
      <c r="AK98" s="128">
        <v>0</v>
      </c>
      <c r="AL98" s="129">
        <v>0</v>
      </c>
      <c r="AM98" s="128" t="str">
        <f t="shared" si="140"/>
        <v/>
      </c>
      <c r="AN98" s="129">
        <f t="shared" si="157"/>
        <v>0</v>
      </c>
      <c r="AO98" s="128">
        <f t="shared" si="109"/>
        <v>0</v>
      </c>
      <c r="AP98" s="128">
        <f t="shared" si="158"/>
        <v>0</v>
      </c>
      <c r="AQ98" s="128"/>
      <c r="AR98" s="128">
        <f t="shared" si="159"/>
        <v>0</v>
      </c>
      <c r="AS98" s="130" t="str">
        <f t="shared" si="141"/>
        <v/>
      </c>
      <c r="AT98" s="130" t="str">
        <f t="shared" si="142"/>
        <v/>
      </c>
      <c r="AU98" s="128"/>
      <c r="AV98" s="128"/>
      <c r="AW98" s="130" t="str">
        <f t="shared" si="143"/>
        <v/>
      </c>
      <c r="AX98" s="130" t="str">
        <f t="shared" si="144"/>
        <v/>
      </c>
      <c r="AY98" s="130" t="str">
        <f t="shared" si="145"/>
        <v/>
      </c>
      <c r="AZ98" s="130" t="str">
        <f t="shared" si="146"/>
        <v/>
      </c>
      <c r="BA98" s="130" t="str">
        <f t="shared" si="147"/>
        <v/>
      </c>
      <c r="BB98" s="128" t="str">
        <f t="shared" si="148"/>
        <v/>
      </c>
      <c r="BC98" s="128"/>
      <c r="BD98" s="129">
        <v>0</v>
      </c>
      <c r="BE98" s="128" t="str">
        <f t="shared" si="149"/>
        <v/>
      </c>
      <c r="BF98" s="129">
        <f t="shared" si="150"/>
        <v>0</v>
      </c>
      <c r="BG98" s="128">
        <f t="shared" si="151"/>
        <v>0</v>
      </c>
      <c r="BH98" s="128">
        <f t="shared" si="160"/>
        <v>0</v>
      </c>
      <c r="BI98" s="128">
        <f t="shared" si="161"/>
        <v>0</v>
      </c>
      <c r="BJ98" s="128" t="str">
        <f t="shared" si="162"/>
        <v/>
      </c>
      <c r="BK98" s="130" t="str">
        <f t="shared" si="152"/>
        <v/>
      </c>
      <c r="BL98" s="130" t="str">
        <f t="shared" si="153"/>
        <v/>
      </c>
      <c r="BM98" s="128"/>
      <c r="BN98" s="128"/>
      <c r="BO98" s="130" t="str">
        <f t="shared" si="154"/>
        <v/>
      </c>
      <c r="BP98" s="124">
        <f t="shared" si="163"/>
        <v>0</v>
      </c>
      <c r="BQ98" s="124">
        <f t="shared" si="164"/>
        <v>1</v>
      </c>
      <c r="BR98" s="124">
        <f t="shared" si="165"/>
        <v>0</v>
      </c>
      <c r="BS98" s="124">
        <f t="shared" si="166"/>
        <v>0</v>
      </c>
      <c r="BT98" s="124">
        <f t="shared" si="120"/>
        <v>0</v>
      </c>
      <c r="BU98" s="124">
        <f t="shared" si="167"/>
        <v>1</v>
      </c>
      <c r="BV98" s="110">
        <f t="shared" si="168"/>
        <v>0</v>
      </c>
      <c r="BW98" s="131">
        <f t="shared" si="169"/>
        <v>1</v>
      </c>
      <c r="BX98" s="110">
        <f t="shared" si="124"/>
        <v>0</v>
      </c>
      <c r="BY98" s="110">
        <f t="shared" si="125"/>
        <v>0</v>
      </c>
      <c r="BZ98" s="99" t="str">
        <f t="shared" si="170"/>
        <v/>
      </c>
      <c r="CA98" s="99"/>
      <c r="CB98" s="99"/>
      <c r="CC98" s="99"/>
      <c r="CD98" s="99"/>
      <c r="CE98" s="99"/>
      <c r="CF98" s="99"/>
      <c r="CG98" s="99"/>
      <c r="CH98" s="99"/>
      <c r="CI98" s="99"/>
      <c r="CJ98" s="99"/>
      <c r="CK98" s="99"/>
      <c r="CL98" s="99"/>
      <c r="CM98" s="99"/>
      <c r="CN98" s="99"/>
      <c r="CO98" s="99"/>
      <c r="CP98" s="99"/>
      <c r="CQ98" s="99"/>
      <c r="CR98" s="99"/>
      <c r="CS98" s="99"/>
      <c r="CT98" s="99"/>
      <c r="CU98" s="99"/>
      <c r="CV98" s="99"/>
      <c r="CW98" s="99"/>
      <c r="CX98" s="99"/>
    </row>
    <row r="99" spans="1:102" s="126" customFormat="1" ht="18.75">
      <c r="A99" s="179">
        <v>2202</v>
      </c>
      <c r="B99" s="179">
        <v>5</v>
      </c>
      <c r="C99" s="180" t="str">
        <f>IF(ISNA(VLOOKUP(B99,Master!BQ$59:CC$106,3,FALSE)),"",VLOOKUP(B99,Master!BQ$59:CC$106,3,FALSE))</f>
        <v/>
      </c>
      <c r="D99" s="181" t="str">
        <f>IF(ISNA(VLOOKUP(B99,Master!BQ$59:CC$106,7,FALSE)),"",VLOOKUP(B99,Master!BQ$59:CC$106,7,FALSE))</f>
        <v/>
      </c>
      <c r="E99" s="181" t="str">
        <f>IF(ISNA(VLOOKUP(B99,Master!BQ$59:CC$106,8,FALSE)),"",VLOOKUP(B99,Master!BQ$59:CC$106,8,FALSE))</f>
        <v/>
      </c>
      <c r="F99" s="183" t="str">
        <f>IF(ISNA(VLOOKUP(B99,Master!BQ$59:CC$106,4,FALSE)),"",VLOOKUP(B99,Master!BQ$59:CC$106,4,FALSE))</f>
        <v/>
      </c>
      <c r="G99" s="211" t="str">
        <f>IF(ISNA(VLOOKUP(B99,Master!BQ$59:CC$106,5,FALSE)),"",VLOOKUP(B99,Master!BQ$59:CC$106,5,FALSE))</f>
        <v/>
      </c>
      <c r="H99" s="185" t="str">
        <f>IF(ISNA(VLOOKUP(B99,Master!BQ$59:CC$106,6,FALSE)),"",VLOOKUP(B99,Master!BQ$59:CC$106,6,FALSE))</f>
        <v/>
      </c>
      <c r="I99" s="179" t="str">
        <f t="shared" si="171"/>
        <v/>
      </c>
      <c r="J99" s="181" t="str">
        <f t="shared" si="172"/>
        <v/>
      </c>
      <c r="K99" s="179" t="str">
        <f t="shared" si="173"/>
        <v/>
      </c>
      <c r="L99" s="179" t="str">
        <f t="shared" si="174"/>
        <v/>
      </c>
      <c r="M99" s="179" t="str">
        <f t="shared" si="175"/>
        <v/>
      </c>
      <c r="N99" s="185" t="str">
        <f t="shared" si="176"/>
        <v/>
      </c>
      <c r="O99" s="267"/>
      <c r="P99" s="267"/>
      <c r="Q99" s="267"/>
      <c r="R99" s="267">
        <v>0</v>
      </c>
      <c r="S99" s="102"/>
      <c r="T99" s="133"/>
      <c r="U99" s="125"/>
      <c r="V99" s="125"/>
      <c r="W99" s="133"/>
      <c r="X99" s="125">
        <f>'[1]Data Entry'!CP104</f>
        <v>0</v>
      </c>
      <c r="Y99" s="129"/>
      <c r="Z99" s="129"/>
      <c r="AA99" s="129"/>
      <c r="AB99" s="129"/>
      <c r="AC99" s="129"/>
      <c r="AD99" s="129"/>
      <c r="AE99" s="130" t="str">
        <f t="shared" si="134"/>
        <v/>
      </c>
      <c r="AF99" s="130" t="str">
        <f t="shared" si="135"/>
        <v/>
      </c>
      <c r="AG99" s="130" t="str">
        <f t="shared" si="136"/>
        <v/>
      </c>
      <c r="AH99" s="130" t="str">
        <f t="shared" si="137"/>
        <v/>
      </c>
      <c r="AI99" s="130" t="str">
        <f t="shared" si="138"/>
        <v/>
      </c>
      <c r="AJ99" s="128" t="str">
        <f t="shared" si="139"/>
        <v/>
      </c>
      <c r="AK99" s="128">
        <v>0</v>
      </c>
      <c r="AL99" s="129">
        <v>0</v>
      </c>
      <c r="AM99" s="128" t="str">
        <f t="shared" si="140"/>
        <v/>
      </c>
      <c r="AN99" s="129">
        <f t="shared" si="157"/>
        <v>0</v>
      </c>
      <c r="AO99" s="128">
        <f t="shared" si="109"/>
        <v>0</v>
      </c>
      <c r="AP99" s="128">
        <f t="shared" si="158"/>
        <v>0</v>
      </c>
      <c r="AQ99" s="128"/>
      <c r="AR99" s="128">
        <f t="shared" si="159"/>
        <v>0</v>
      </c>
      <c r="AS99" s="130" t="str">
        <f t="shared" si="141"/>
        <v/>
      </c>
      <c r="AT99" s="130" t="str">
        <f t="shared" si="142"/>
        <v/>
      </c>
      <c r="AU99" s="128"/>
      <c r="AV99" s="128"/>
      <c r="AW99" s="130" t="str">
        <f t="shared" si="143"/>
        <v/>
      </c>
      <c r="AX99" s="130" t="str">
        <f t="shared" si="144"/>
        <v/>
      </c>
      <c r="AY99" s="130" t="str">
        <f t="shared" si="145"/>
        <v/>
      </c>
      <c r="AZ99" s="130" t="str">
        <f t="shared" si="146"/>
        <v/>
      </c>
      <c r="BA99" s="130" t="str">
        <f t="shared" si="147"/>
        <v/>
      </c>
      <c r="BB99" s="128" t="str">
        <f t="shared" si="148"/>
        <v/>
      </c>
      <c r="BC99" s="128"/>
      <c r="BD99" s="129">
        <v>0</v>
      </c>
      <c r="BE99" s="128" t="str">
        <f t="shared" si="149"/>
        <v/>
      </c>
      <c r="BF99" s="129">
        <f t="shared" si="150"/>
        <v>0</v>
      </c>
      <c r="BG99" s="128">
        <f t="shared" si="151"/>
        <v>0</v>
      </c>
      <c r="BH99" s="128">
        <f t="shared" si="160"/>
        <v>0</v>
      </c>
      <c r="BI99" s="128">
        <f t="shared" si="161"/>
        <v>0</v>
      </c>
      <c r="BJ99" s="128" t="str">
        <f t="shared" si="162"/>
        <v/>
      </c>
      <c r="BK99" s="130" t="str">
        <f t="shared" si="152"/>
        <v/>
      </c>
      <c r="BL99" s="130" t="str">
        <f t="shared" si="153"/>
        <v/>
      </c>
      <c r="BM99" s="128"/>
      <c r="BN99" s="128"/>
      <c r="BO99" s="130" t="str">
        <f t="shared" si="154"/>
        <v/>
      </c>
      <c r="BP99" s="124">
        <f t="shared" si="163"/>
        <v>0</v>
      </c>
      <c r="BQ99" s="124">
        <f t="shared" si="164"/>
        <v>1</v>
      </c>
      <c r="BR99" s="124">
        <f t="shared" si="165"/>
        <v>0</v>
      </c>
      <c r="BS99" s="124">
        <f t="shared" si="166"/>
        <v>0</v>
      </c>
      <c r="BT99" s="124">
        <f t="shared" si="120"/>
        <v>0</v>
      </c>
      <c r="BU99" s="124">
        <f t="shared" si="167"/>
        <v>1</v>
      </c>
      <c r="BV99" s="110">
        <f t="shared" si="168"/>
        <v>0</v>
      </c>
      <c r="BW99" s="131">
        <f t="shared" si="169"/>
        <v>1</v>
      </c>
      <c r="BX99" s="110">
        <f t="shared" si="124"/>
        <v>0</v>
      </c>
      <c r="BY99" s="110">
        <f t="shared" si="125"/>
        <v>0</v>
      </c>
      <c r="BZ99" s="99" t="str">
        <f t="shared" si="170"/>
        <v/>
      </c>
      <c r="CA99" s="99"/>
      <c r="CB99" s="99"/>
      <c r="CC99" s="99"/>
      <c r="CD99" s="99"/>
      <c r="CE99" s="99"/>
      <c r="CF99" s="99"/>
      <c r="CG99" s="99"/>
      <c r="CH99" s="99"/>
      <c r="CI99" s="99"/>
      <c r="CJ99" s="99"/>
      <c r="CK99" s="99"/>
      <c r="CL99" s="99"/>
      <c r="CM99" s="99"/>
      <c r="CN99" s="99"/>
      <c r="CO99" s="99"/>
      <c r="CP99" s="99"/>
      <c r="CQ99" s="99"/>
      <c r="CR99" s="99"/>
      <c r="CS99" s="99"/>
      <c r="CT99" s="99"/>
      <c r="CU99" s="99"/>
      <c r="CV99" s="99"/>
      <c r="CW99" s="99"/>
      <c r="CX99" s="99"/>
    </row>
    <row r="100" spans="1:102" s="126" customFormat="1" ht="18.75">
      <c r="A100" s="179">
        <v>2202</v>
      </c>
      <c r="B100" s="179">
        <v>6</v>
      </c>
      <c r="C100" s="180" t="str">
        <f>IF(ISNA(VLOOKUP(B100,Master!BQ$59:CC$106,3,FALSE)),"",VLOOKUP(B100,Master!BQ$59:CC$106,3,FALSE))</f>
        <v/>
      </c>
      <c r="D100" s="181" t="str">
        <f>IF(ISNA(VLOOKUP(B100,Master!BQ$59:CC$106,7,FALSE)),"",VLOOKUP(B100,Master!BQ$59:CC$106,7,FALSE))</f>
        <v/>
      </c>
      <c r="E100" s="181" t="str">
        <f>IF(ISNA(VLOOKUP(B100,Master!BQ$59:CC$106,8,FALSE)),"",VLOOKUP(B100,Master!BQ$59:CC$106,8,FALSE))</f>
        <v/>
      </c>
      <c r="F100" s="183" t="str">
        <f>IF(ISNA(VLOOKUP(B100,Master!BQ$59:CC$106,4,FALSE)),"",VLOOKUP(B100,Master!BQ$59:CC$106,4,FALSE))</f>
        <v/>
      </c>
      <c r="G100" s="211" t="str">
        <f>IF(ISNA(VLOOKUP(B100,Master!BQ$59:CC$106,5,FALSE)),"",VLOOKUP(B100,Master!BQ$59:CC$106,5,FALSE))</f>
        <v/>
      </c>
      <c r="H100" s="185" t="str">
        <f>IF(ISNA(VLOOKUP(B100,Master!BQ$59:CC$106,6,FALSE)),"",VLOOKUP(B100,Master!BQ$59:CC$106,6,FALSE))</f>
        <v/>
      </c>
      <c r="I100" s="179" t="str">
        <f t="shared" si="171"/>
        <v/>
      </c>
      <c r="J100" s="181" t="str">
        <f t="shared" si="172"/>
        <v/>
      </c>
      <c r="K100" s="179" t="str">
        <f t="shared" si="173"/>
        <v/>
      </c>
      <c r="L100" s="179" t="str">
        <f t="shared" si="174"/>
        <v/>
      </c>
      <c r="M100" s="179" t="str">
        <f t="shared" si="175"/>
        <v/>
      </c>
      <c r="N100" s="185" t="str">
        <f t="shared" si="176"/>
        <v/>
      </c>
      <c r="O100" s="267"/>
      <c r="P100" s="267"/>
      <c r="Q100" s="267"/>
      <c r="R100" s="267">
        <v>0</v>
      </c>
      <c r="S100" s="102"/>
      <c r="T100" s="133"/>
      <c r="U100" s="125"/>
      <c r="V100" s="125"/>
      <c r="W100" s="133"/>
      <c r="X100" s="125">
        <f>'[1]Data Entry'!CP105</f>
        <v>0</v>
      </c>
      <c r="Y100" s="129"/>
      <c r="Z100" s="129"/>
      <c r="AA100" s="129"/>
      <c r="AB100" s="129"/>
      <c r="AC100" s="129"/>
      <c r="AD100" s="129"/>
      <c r="AE100" s="130" t="str">
        <f t="shared" si="134"/>
        <v/>
      </c>
      <c r="AF100" s="130" t="str">
        <f t="shared" si="135"/>
        <v/>
      </c>
      <c r="AG100" s="130" t="str">
        <f t="shared" si="136"/>
        <v/>
      </c>
      <c r="AH100" s="130" t="str">
        <f t="shared" si="137"/>
        <v/>
      </c>
      <c r="AI100" s="130" t="str">
        <f t="shared" si="138"/>
        <v/>
      </c>
      <c r="AJ100" s="128" t="str">
        <f t="shared" si="139"/>
        <v/>
      </c>
      <c r="AK100" s="128">
        <v>0</v>
      </c>
      <c r="AL100" s="129">
        <v>0</v>
      </c>
      <c r="AM100" s="128" t="str">
        <f t="shared" si="140"/>
        <v/>
      </c>
      <c r="AN100" s="129">
        <f t="shared" si="157"/>
        <v>0</v>
      </c>
      <c r="AO100" s="128">
        <f t="shared" si="109"/>
        <v>0</v>
      </c>
      <c r="AP100" s="128">
        <f t="shared" si="158"/>
        <v>0</v>
      </c>
      <c r="AQ100" s="128"/>
      <c r="AR100" s="128">
        <f t="shared" si="159"/>
        <v>0</v>
      </c>
      <c r="AS100" s="130" t="str">
        <f t="shared" si="141"/>
        <v/>
      </c>
      <c r="AT100" s="130" t="str">
        <f t="shared" si="142"/>
        <v/>
      </c>
      <c r="AU100" s="128"/>
      <c r="AV100" s="128"/>
      <c r="AW100" s="130" t="str">
        <f t="shared" si="143"/>
        <v/>
      </c>
      <c r="AX100" s="130" t="str">
        <f t="shared" si="144"/>
        <v/>
      </c>
      <c r="AY100" s="130" t="str">
        <f t="shared" si="145"/>
        <v/>
      </c>
      <c r="AZ100" s="130" t="str">
        <f t="shared" si="146"/>
        <v/>
      </c>
      <c r="BA100" s="130" t="str">
        <f t="shared" si="147"/>
        <v/>
      </c>
      <c r="BB100" s="128" t="str">
        <f t="shared" si="148"/>
        <v/>
      </c>
      <c r="BC100" s="128"/>
      <c r="BD100" s="129">
        <v>0</v>
      </c>
      <c r="BE100" s="128" t="str">
        <f t="shared" si="149"/>
        <v/>
      </c>
      <c r="BF100" s="129">
        <f t="shared" si="150"/>
        <v>0</v>
      </c>
      <c r="BG100" s="128">
        <f t="shared" si="151"/>
        <v>0</v>
      </c>
      <c r="BH100" s="128">
        <f t="shared" si="160"/>
        <v>0</v>
      </c>
      <c r="BI100" s="128">
        <f t="shared" si="161"/>
        <v>0</v>
      </c>
      <c r="BJ100" s="128" t="str">
        <f t="shared" si="162"/>
        <v/>
      </c>
      <c r="BK100" s="130" t="str">
        <f t="shared" si="152"/>
        <v/>
      </c>
      <c r="BL100" s="130" t="str">
        <f t="shared" si="153"/>
        <v/>
      </c>
      <c r="BM100" s="128"/>
      <c r="BN100" s="128"/>
      <c r="BO100" s="130" t="str">
        <f t="shared" si="154"/>
        <v/>
      </c>
      <c r="BP100" s="124">
        <f t="shared" si="163"/>
        <v>0</v>
      </c>
      <c r="BQ100" s="124">
        <f t="shared" si="164"/>
        <v>1</v>
      </c>
      <c r="BR100" s="124">
        <f t="shared" si="165"/>
        <v>0</v>
      </c>
      <c r="BS100" s="124">
        <f t="shared" si="166"/>
        <v>0</v>
      </c>
      <c r="BT100" s="124">
        <f t="shared" si="120"/>
        <v>0</v>
      </c>
      <c r="BU100" s="124">
        <f t="shared" si="167"/>
        <v>1</v>
      </c>
      <c r="BV100" s="110">
        <f t="shared" si="168"/>
        <v>0</v>
      </c>
      <c r="BW100" s="131">
        <f t="shared" si="169"/>
        <v>1</v>
      </c>
      <c r="BX100" s="110">
        <f t="shared" si="124"/>
        <v>0</v>
      </c>
      <c r="BY100" s="110">
        <f t="shared" si="125"/>
        <v>0</v>
      </c>
      <c r="BZ100" s="99" t="str">
        <f t="shared" si="170"/>
        <v/>
      </c>
      <c r="CA100" s="99"/>
      <c r="CB100" s="99"/>
      <c r="CC100" s="99"/>
      <c r="CD100" s="99"/>
      <c r="CE100" s="99"/>
      <c r="CF100" s="99"/>
      <c r="CG100" s="99"/>
      <c r="CH100" s="99"/>
      <c r="CI100" s="99"/>
      <c r="CJ100" s="99"/>
      <c r="CK100" s="99"/>
      <c r="CL100" s="99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</row>
    <row r="101" spans="1:102" s="126" customFormat="1" ht="18.75">
      <c r="A101" s="179">
        <v>2202</v>
      </c>
      <c r="B101" s="179">
        <v>7</v>
      </c>
      <c r="C101" s="180" t="str">
        <f>IF(ISNA(VLOOKUP(B101,Master!BQ$59:CC$106,3,FALSE)),"",VLOOKUP(B101,Master!BQ$59:CC$106,3,FALSE))</f>
        <v/>
      </c>
      <c r="D101" s="181" t="str">
        <f>IF(ISNA(VLOOKUP(B101,Master!BQ$59:CC$106,7,FALSE)),"",VLOOKUP(B101,Master!BQ$59:CC$106,7,FALSE))</f>
        <v/>
      </c>
      <c r="E101" s="181" t="str">
        <f>IF(ISNA(VLOOKUP(B101,Master!BQ$59:CC$106,8,FALSE)),"",VLOOKUP(B101,Master!BQ$59:CC$106,8,FALSE))</f>
        <v/>
      </c>
      <c r="F101" s="183" t="str">
        <f>IF(ISNA(VLOOKUP(B101,Master!BQ$59:CC$106,4,FALSE)),"",VLOOKUP(B101,Master!BQ$59:CC$106,4,FALSE))</f>
        <v/>
      </c>
      <c r="G101" s="211" t="str">
        <f>IF(ISNA(VLOOKUP(B101,Master!BQ$59:CC$106,5,FALSE)),"",VLOOKUP(B101,Master!BQ$59:CC$106,5,FALSE))</f>
        <v/>
      </c>
      <c r="H101" s="185" t="str">
        <f>IF(ISNA(VLOOKUP(B101,Master!BQ$59:CC$106,6,FALSE)),"",VLOOKUP(B101,Master!BQ$59:CC$106,6,FALSE))</f>
        <v/>
      </c>
      <c r="I101" s="179" t="str">
        <f t="shared" si="171"/>
        <v/>
      </c>
      <c r="J101" s="181" t="str">
        <f t="shared" si="172"/>
        <v/>
      </c>
      <c r="K101" s="179" t="str">
        <f t="shared" si="173"/>
        <v/>
      </c>
      <c r="L101" s="179" t="str">
        <f t="shared" si="174"/>
        <v/>
      </c>
      <c r="M101" s="179" t="str">
        <f t="shared" si="175"/>
        <v/>
      </c>
      <c r="N101" s="185" t="str">
        <f t="shared" si="176"/>
        <v/>
      </c>
      <c r="O101" s="267"/>
      <c r="P101" s="267"/>
      <c r="Q101" s="267"/>
      <c r="R101" s="267">
        <v>0</v>
      </c>
      <c r="S101" s="102"/>
      <c r="T101" s="133"/>
      <c r="U101" s="125"/>
      <c r="V101" s="125"/>
      <c r="W101" s="133"/>
      <c r="X101" s="125">
        <f>'[1]Data Entry'!CP106</f>
        <v>0</v>
      </c>
      <c r="Y101" s="129"/>
      <c r="Z101" s="129"/>
      <c r="AA101" s="129"/>
      <c r="AB101" s="129"/>
      <c r="AC101" s="129"/>
      <c r="AD101" s="129"/>
      <c r="AE101" s="130" t="str">
        <f t="shared" si="134"/>
        <v/>
      </c>
      <c r="AF101" s="130" t="str">
        <f t="shared" si="135"/>
        <v/>
      </c>
      <c r="AG101" s="130" t="str">
        <f t="shared" si="136"/>
        <v/>
      </c>
      <c r="AH101" s="130" t="str">
        <f t="shared" si="137"/>
        <v/>
      </c>
      <c r="AI101" s="130" t="str">
        <f t="shared" si="138"/>
        <v/>
      </c>
      <c r="AJ101" s="128" t="str">
        <f t="shared" si="139"/>
        <v/>
      </c>
      <c r="AK101" s="128">
        <v>0</v>
      </c>
      <c r="AL101" s="129">
        <v>0</v>
      </c>
      <c r="AM101" s="128" t="str">
        <f t="shared" si="140"/>
        <v/>
      </c>
      <c r="AN101" s="129">
        <f t="shared" si="157"/>
        <v>0</v>
      </c>
      <c r="AO101" s="128">
        <f t="shared" si="109"/>
        <v>0</v>
      </c>
      <c r="AP101" s="128">
        <f t="shared" si="158"/>
        <v>0</v>
      </c>
      <c r="AQ101" s="128"/>
      <c r="AR101" s="128">
        <f t="shared" si="159"/>
        <v>0</v>
      </c>
      <c r="AS101" s="130" t="str">
        <f t="shared" si="141"/>
        <v/>
      </c>
      <c r="AT101" s="130" t="str">
        <f t="shared" si="142"/>
        <v/>
      </c>
      <c r="AU101" s="128"/>
      <c r="AV101" s="128"/>
      <c r="AW101" s="130" t="str">
        <f t="shared" si="143"/>
        <v/>
      </c>
      <c r="AX101" s="130" t="str">
        <f t="shared" si="144"/>
        <v/>
      </c>
      <c r="AY101" s="130" t="str">
        <f t="shared" si="145"/>
        <v/>
      </c>
      <c r="AZ101" s="130" t="str">
        <f t="shared" si="146"/>
        <v/>
      </c>
      <c r="BA101" s="130" t="str">
        <f t="shared" si="147"/>
        <v/>
      </c>
      <c r="BB101" s="128" t="str">
        <f t="shared" si="148"/>
        <v/>
      </c>
      <c r="BC101" s="128"/>
      <c r="BD101" s="129">
        <v>0</v>
      </c>
      <c r="BE101" s="128" t="str">
        <f t="shared" si="149"/>
        <v/>
      </c>
      <c r="BF101" s="129">
        <f t="shared" si="150"/>
        <v>0</v>
      </c>
      <c r="BG101" s="128">
        <f t="shared" si="151"/>
        <v>0</v>
      </c>
      <c r="BH101" s="128">
        <f t="shared" si="160"/>
        <v>0</v>
      </c>
      <c r="BI101" s="128">
        <f t="shared" si="161"/>
        <v>0</v>
      </c>
      <c r="BJ101" s="128" t="str">
        <f t="shared" si="162"/>
        <v/>
      </c>
      <c r="BK101" s="130" t="str">
        <f t="shared" si="152"/>
        <v/>
      </c>
      <c r="BL101" s="130" t="str">
        <f t="shared" si="153"/>
        <v/>
      </c>
      <c r="BM101" s="128"/>
      <c r="BN101" s="128"/>
      <c r="BO101" s="130" t="str">
        <f t="shared" si="154"/>
        <v/>
      </c>
      <c r="BP101" s="124">
        <f t="shared" si="163"/>
        <v>0</v>
      </c>
      <c r="BQ101" s="124">
        <f t="shared" si="164"/>
        <v>1</v>
      </c>
      <c r="BR101" s="124">
        <f t="shared" si="165"/>
        <v>0</v>
      </c>
      <c r="BS101" s="124">
        <f t="shared" si="166"/>
        <v>0</v>
      </c>
      <c r="BT101" s="124">
        <f t="shared" si="120"/>
        <v>0</v>
      </c>
      <c r="BU101" s="124">
        <f t="shared" si="167"/>
        <v>1</v>
      </c>
      <c r="BV101" s="110">
        <f t="shared" si="168"/>
        <v>0</v>
      </c>
      <c r="BW101" s="131">
        <f t="shared" si="169"/>
        <v>1</v>
      </c>
      <c r="BX101" s="110">
        <f t="shared" si="124"/>
        <v>0</v>
      </c>
      <c r="BY101" s="110">
        <f t="shared" si="125"/>
        <v>0</v>
      </c>
      <c r="BZ101" s="99" t="str">
        <f t="shared" si="170"/>
        <v/>
      </c>
      <c r="CA101" s="99"/>
      <c r="CB101" s="99"/>
      <c r="CC101" s="99"/>
      <c r="CD101" s="99"/>
      <c r="CE101" s="99"/>
      <c r="CF101" s="99"/>
      <c r="CG101" s="99"/>
      <c r="CH101" s="99"/>
      <c r="CI101" s="99"/>
      <c r="CJ101" s="99"/>
      <c r="CK101" s="99"/>
      <c r="CL101" s="99"/>
      <c r="CM101" s="99"/>
      <c r="CN101" s="99"/>
      <c r="CO101" s="99"/>
      <c r="CP101" s="99"/>
      <c r="CQ101" s="99"/>
      <c r="CR101" s="99"/>
      <c r="CS101" s="99"/>
      <c r="CT101" s="99"/>
      <c r="CU101" s="99"/>
      <c r="CV101" s="99"/>
      <c r="CW101" s="99"/>
      <c r="CX101" s="99"/>
    </row>
    <row r="102" spans="1:102" s="126" customFormat="1" ht="18.75">
      <c r="A102" s="179">
        <v>2202</v>
      </c>
      <c r="B102" s="179">
        <v>8</v>
      </c>
      <c r="C102" s="180" t="str">
        <f>IF(ISNA(VLOOKUP(B102,Master!BQ$59:CC$106,3,FALSE)),"",VLOOKUP(B102,Master!BQ$59:CC$106,3,FALSE))</f>
        <v/>
      </c>
      <c r="D102" s="181" t="str">
        <f>IF(ISNA(VLOOKUP(B102,Master!BQ$59:CC$106,7,FALSE)),"",VLOOKUP(B102,Master!BQ$59:CC$106,7,FALSE))</f>
        <v/>
      </c>
      <c r="E102" s="181" t="str">
        <f>IF(ISNA(VLOOKUP(B102,Master!BQ$59:CC$106,8,FALSE)),"",VLOOKUP(B102,Master!BQ$59:CC$106,8,FALSE))</f>
        <v/>
      </c>
      <c r="F102" s="183" t="str">
        <f>IF(ISNA(VLOOKUP(B102,Master!BQ$59:CC$106,4,FALSE)),"",VLOOKUP(B102,Master!BQ$59:CC$106,4,FALSE))</f>
        <v/>
      </c>
      <c r="G102" s="211" t="str">
        <f>IF(ISNA(VLOOKUP(B102,Master!BQ$59:CC$106,5,FALSE)),"",VLOOKUP(B102,Master!BQ$59:CC$106,5,FALSE))</f>
        <v/>
      </c>
      <c r="H102" s="185" t="str">
        <f>IF(ISNA(VLOOKUP(B102,Master!BQ$59:CC$106,6,FALSE)),"",VLOOKUP(B102,Master!BQ$59:CC$106,6,FALSE))</f>
        <v/>
      </c>
      <c r="I102" s="179" t="str">
        <f t="shared" si="171"/>
        <v/>
      </c>
      <c r="J102" s="181" t="str">
        <f t="shared" si="172"/>
        <v/>
      </c>
      <c r="K102" s="179" t="str">
        <f t="shared" si="173"/>
        <v/>
      </c>
      <c r="L102" s="179" t="str">
        <f t="shared" si="174"/>
        <v/>
      </c>
      <c r="M102" s="179" t="str">
        <f t="shared" si="175"/>
        <v/>
      </c>
      <c r="N102" s="185" t="str">
        <f t="shared" si="176"/>
        <v/>
      </c>
      <c r="O102" s="267"/>
      <c r="P102" s="267"/>
      <c r="Q102" s="267"/>
      <c r="R102" s="267">
        <v>0</v>
      </c>
      <c r="S102" s="102"/>
      <c r="T102" s="133"/>
      <c r="U102" s="125"/>
      <c r="V102" s="125"/>
      <c r="W102" s="133"/>
      <c r="X102" s="125">
        <f>'[1]Data Entry'!CP107</f>
        <v>0</v>
      </c>
      <c r="Y102" s="129"/>
      <c r="Z102" s="129"/>
      <c r="AA102" s="129"/>
      <c r="AB102" s="129"/>
      <c r="AC102" s="129"/>
      <c r="AD102" s="129"/>
      <c r="AE102" s="130" t="str">
        <f t="shared" si="134"/>
        <v/>
      </c>
      <c r="AF102" s="130" t="str">
        <f t="shared" si="135"/>
        <v/>
      </c>
      <c r="AG102" s="130" t="str">
        <f t="shared" si="136"/>
        <v/>
      </c>
      <c r="AH102" s="130" t="str">
        <f t="shared" si="137"/>
        <v/>
      </c>
      <c r="AI102" s="130" t="str">
        <f t="shared" si="138"/>
        <v/>
      </c>
      <c r="AJ102" s="128" t="str">
        <f t="shared" si="139"/>
        <v/>
      </c>
      <c r="AK102" s="128">
        <v>0</v>
      </c>
      <c r="AL102" s="129">
        <v>0</v>
      </c>
      <c r="AM102" s="128" t="str">
        <f t="shared" si="140"/>
        <v/>
      </c>
      <c r="AN102" s="129">
        <f t="shared" si="157"/>
        <v>0</v>
      </c>
      <c r="AO102" s="128">
        <f t="shared" si="109"/>
        <v>0</v>
      </c>
      <c r="AP102" s="128">
        <f t="shared" si="158"/>
        <v>0</v>
      </c>
      <c r="AQ102" s="128"/>
      <c r="AR102" s="128">
        <f t="shared" si="159"/>
        <v>0</v>
      </c>
      <c r="AS102" s="130" t="str">
        <f t="shared" si="141"/>
        <v/>
      </c>
      <c r="AT102" s="130" t="str">
        <f t="shared" si="142"/>
        <v/>
      </c>
      <c r="AU102" s="128"/>
      <c r="AV102" s="128"/>
      <c r="AW102" s="130" t="str">
        <f t="shared" si="143"/>
        <v/>
      </c>
      <c r="AX102" s="130" t="str">
        <f t="shared" si="144"/>
        <v/>
      </c>
      <c r="AY102" s="130" t="str">
        <f t="shared" si="145"/>
        <v/>
      </c>
      <c r="AZ102" s="130" t="str">
        <f t="shared" si="146"/>
        <v/>
      </c>
      <c r="BA102" s="130" t="str">
        <f t="shared" si="147"/>
        <v/>
      </c>
      <c r="BB102" s="128" t="str">
        <f t="shared" si="148"/>
        <v/>
      </c>
      <c r="BC102" s="128"/>
      <c r="BD102" s="129">
        <v>0</v>
      </c>
      <c r="BE102" s="128" t="str">
        <f t="shared" si="149"/>
        <v/>
      </c>
      <c r="BF102" s="129">
        <f t="shared" si="150"/>
        <v>0</v>
      </c>
      <c r="BG102" s="128">
        <f t="shared" si="151"/>
        <v>0</v>
      </c>
      <c r="BH102" s="128">
        <f t="shared" si="160"/>
        <v>0</v>
      </c>
      <c r="BI102" s="128">
        <f t="shared" si="161"/>
        <v>0</v>
      </c>
      <c r="BJ102" s="128" t="str">
        <f t="shared" si="162"/>
        <v/>
      </c>
      <c r="BK102" s="130" t="str">
        <f t="shared" si="152"/>
        <v/>
      </c>
      <c r="BL102" s="130" t="str">
        <f t="shared" si="153"/>
        <v/>
      </c>
      <c r="BM102" s="128"/>
      <c r="BN102" s="128"/>
      <c r="BO102" s="130" t="str">
        <f t="shared" si="154"/>
        <v/>
      </c>
      <c r="BP102" s="124">
        <f t="shared" si="163"/>
        <v>0</v>
      </c>
      <c r="BQ102" s="124">
        <f t="shared" si="164"/>
        <v>1</v>
      </c>
      <c r="BR102" s="124">
        <f t="shared" si="165"/>
        <v>0</v>
      </c>
      <c r="BS102" s="124">
        <f t="shared" si="166"/>
        <v>0</v>
      </c>
      <c r="BT102" s="124">
        <f t="shared" si="120"/>
        <v>0</v>
      </c>
      <c r="BU102" s="124">
        <f t="shared" si="167"/>
        <v>1</v>
      </c>
      <c r="BV102" s="110">
        <f t="shared" si="168"/>
        <v>0</v>
      </c>
      <c r="BW102" s="131">
        <f t="shared" si="169"/>
        <v>1</v>
      </c>
      <c r="BX102" s="110">
        <f t="shared" si="124"/>
        <v>0</v>
      </c>
      <c r="BY102" s="110">
        <f t="shared" si="125"/>
        <v>0</v>
      </c>
      <c r="BZ102" s="99" t="str">
        <f t="shared" si="170"/>
        <v/>
      </c>
      <c r="CA102" s="99"/>
      <c r="CB102" s="99"/>
      <c r="CC102" s="99"/>
      <c r="CD102" s="99"/>
      <c r="CE102" s="99"/>
      <c r="CF102" s="99"/>
      <c r="CG102" s="99"/>
      <c r="CH102" s="99"/>
      <c r="CI102" s="99"/>
      <c r="CJ102" s="99"/>
      <c r="CK102" s="99"/>
      <c r="CL102" s="99"/>
      <c r="CM102" s="99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</row>
    <row r="103" spans="1:102" s="126" customFormat="1" ht="18.75">
      <c r="A103" s="179">
        <v>2202</v>
      </c>
      <c r="B103" s="179">
        <v>9</v>
      </c>
      <c r="C103" s="180" t="str">
        <f>IF(ISNA(VLOOKUP(B103,Master!BQ$59:CC$106,3,FALSE)),"",VLOOKUP(B103,Master!BQ$59:CC$106,3,FALSE))</f>
        <v/>
      </c>
      <c r="D103" s="181" t="str">
        <f>IF(ISNA(VLOOKUP(B103,Master!BQ$59:CC$106,7,FALSE)),"",VLOOKUP(B103,Master!BQ$59:CC$106,7,FALSE))</f>
        <v/>
      </c>
      <c r="E103" s="181" t="str">
        <f>IF(ISNA(VLOOKUP(B103,Master!BQ$59:CC$106,8,FALSE)),"",VLOOKUP(B103,Master!BQ$59:CC$106,8,FALSE))</f>
        <v/>
      </c>
      <c r="F103" s="183" t="str">
        <f>IF(ISNA(VLOOKUP(B103,Master!BQ$59:CC$106,4,FALSE)),"",VLOOKUP(B103,Master!BQ$59:CC$106,4,FALSE))</f>
        <v/>
      </c>
      <c r="G103" s="211" t="str">
        <f>IF(ISNA(VLOOKUP(B103,Master!BQ$59:CC$106,5,FALSE)),"",VLOOKUP(B103,Master!BQ$59:CC$106,5,FALSE))</f>
        <v/>
      </c>
      <c r="H103" s="185" t="str">
        <f>IF(ISNA(VLOOKUP(B103,Master!BQ$59:CC$106,6,FALSE)),"",VLOOKUP(B103,Master!BQ$59:CC$106,6,FALSE))</f>
        <v/>
      </c>
      <c r="I103" s="179" t="str">
        <f t="shared" si="171"/>
        <v/>
      </c>
      <c r="J103" s="181" t="str">
        <f t="shared" si="172"/>
        <v/>
      </c>
      <c r="K103" s="179" t="str">
        <f t="shared" si="173"/>
        <v/>
      </c>
      <c r="L103" s="179" t="str">
        <f t="shared" si="174"/>
        <v/>
      </c>
      <c r="M103" s="179" t="str">
        <f t="shared" si="175"/>
        <v/>
      </c>
      <c r="N103" s="185" t="str">
        <f t="shared" si="176"/>
        <v/>
      </c>
      <c r="O103" s="267"/>
      <c r="P103" s="267"/>
      <c r="Q103" s="267"/>
      <c r="R103" s="267">
        <v>0</v>
      </c>
      <c r="S103" s="102"/>
      <c r="T103" s="133"/>
      <c r="U103" s="125"/>
      <c r="V103" s="125"/>
      <c r="W103" s="133"/>
      <c r="X103" s="125">
        <f>'[1]Data Entry'!CP108</f>
        <v>0</v>
      </c>
      <c r="Y103" s="129"/>
      <c r="Z103" s="129"/>
      <c r="AA103" s="129"/>
      <c r="AB103" s="129"/>
      <c r="AC103" s="129"/>
      <c r="AD103" s="129"/>
      <c r="AE103" s="130" t="str">
        <f t="shared" si="134"/>
        <v/>
      </c>
      <c r="AF103" s="130" t="str">
        <f t="shared" si="135"/>
        <v/>
      </c>
      <c r="AG103" s="130" t="str">
        <f t="shared" si="136"/>
        <v/>
      </c>
      <c r="AH103" s="130" t="str">
        <f t="shared" si="137"/>
        <v/>
      </c>
      <c r="AI103" s="130" t="str">
        <f t="shared" si="138"/>
        <v/>
      </c>
      <c r="AJ103" s="128" t="str">
        <f t="shared" si="139"/>
        <v/>
      </c>
      <c r="AK103" s="128">
        <v>0</v>
      </c>
      <c r="AL103" s="129">
        <v>0</v>
      </c>
      <c r="AM103" s="128" t="str">
        <f t="shared" si="140"/>
        <v/>
      </c>
      <c r="AN103" s="129">
        <f t="shared" si="157"/>
        <v>0</v>
      </c>
      <c r="AO103" s="128">
        <f t="shared" si="109"/>
        <v>0</v>
      </c>
      <c r="AP103" s="128">
        <f t="shared" si="158"/>
        <v>0</v>
      </c>
      <c r="AQ103" s="128"/>
      <c r="AR103" s="128">
        <f t="shared" si="159"/>
        <v>0</v>
      </c>
      <c r="AS103" s="130" t="str">
        <f t="shared" si="141"/>
        <v/>
      </c>
      <c r="AT103" s="130" t="str">
        <f t="shared" si="142"/>
        <v/>
      </c>
      <c r="AU103" s="128"/>
      <c r="AV103" s="128"/>
      <c r="AW103" s="130" t="str">
        <f t="shared" si="143"/>
        <v/>
      </c>
      <c r="AX103" s="130" t="str">
        <f t="shared" si="144"/>
        <v/>
      </c>
      <c r="AY103" s="130" t="str">
        <f t="shared" si="145"/>
        <v/>
      </c>
      <c r="AZ103" s="130" t="str">
        <f t="shared" si="146"/>
        <v/>
      </c>
      <c r="BA103" s="130" t="str">
        <f t="shared" si="147"/>
        <v/>
      </c>
      <c r="BB103" s="128" t="str">
        <f t="shared" si="148"/>
        <v/>
      </c>
      <c r="BC103" s="128"/>
      <c r="BD103" s="129">
        <v>0</v>
      </c>
      <c r="BE103" s="128" t="str">
        <f t="shared" si="149"/>
        <v/>
      </c>
      <c r="BF103" s="129">
        <f t="shared" si="150"/>
        <v>0</v>
      </c>
      <c r="BG103" s="128">
        <f t="shared" si="151"/>
        <v>0</v>
      </c>
      <c r="BH103" s="128">
        <f t="shared" si="160"/>
        <v>0</v>
      </c>
      <c r="BI103" s="128">
        <f t="shared" si="161"/>
        <v>0</v>
      </c>
      <c r="BJ103" s="128" t="str">
        <f t="shared" si="162"/>
        <v/>
      </c>
      <c r="BK103" s="130" t="str">
        <f t="shared" si="152"/>
        <v/>
      </c>
      <c r="BL103" s="130" t="str">
        <f t="shared" si="153"/>
        <v/>
      </c>
      <c r="BM103" s="128"/>
      <c r="BN103" s="128"/>
      <c r="BO103" s="130" t="str">
        <f t="shared" si="154"/>
        <v/>
      </c>
      <c r="BP103" s="124">
        <f t="shared" si="163"/>
        <v>0</v>
      </c>
      <c r="BQ103" s="124">
        <f t="shared" si="164"/>
        <v>1</v>
      </c>
      <c r="BR103" s="124">
        <f t="shared" si="165"/>
        <v>0</v>
      </c>
      <c r="BS103" s="124">
        <f t="shared" si="166"/>
        <v>0</v>
      </c>
      <c r="BT103" s="124">
        <f t="shared" si="120"/>
        <v>0</v>
      </c>
      <c r="BU103" s="124">
        <f t="shared" si="167"/>
        <v>1</v>
      </c>
      <c r="BV103" s="110">
        <f t="shared" si="168"/>
        <v>0</v>
      </c>
      <c r="BW103" s="131">
        <f t="shared" si="169"/>
        <v>1</v>
      </c>
      <c r="BX103" s="110">
        <f t="shared" si="124"/>
        <v>0</v>
      </c>
      <c r="BY103" s="110">
        <f t="shared" si="125"/>
        <v>0</v>
      </c>
      <c r="BZ103" s="99" t="str">
        <f t="shared" si="170"/>
        <v/>
      </c>
      <c r="CA103" s="99"/>
      <c r="CB103" s="99"/>
      <c r="CC103" s="99"/>
      <c r="CD103" s="99"/>
      <c r="CE103" s="99"/>
      <c r="CF103" s="99"/>
      <c r="CG103" s="99"/>
      <c r="CH103" s="99"/>
      <c r="CI103" s="99"/>
      <c r="CJ103" s="99"/>
      <c r="CK103" s="99"/>
      <c r="CL103" s="99"/>
      <c r="CM103" s="99"/>
      <c r="CN103" s="99"/>
      <c r="CO103" s="99"/>
      <c r="CP103" s="99"/>
      <c r="CQ103" s="99"/>
      <c r="CR103" s="99"/>
      <c r="CS103" s="99"/>
      <c r="CT103" s="99"/>
      <c r="CU103" s="99"/>
      <c r="CV103" s="99"/>
      <c r="CW103" s="99"/>
      <c r="CX103" s="99"/>
    </row>
    <row r="104" spans="1:102" s="126" customFormat="1">
      <c r="A104" s="213"/>
      <c r="B104" s="191"/>
      <c r="C104" s="191"/>
      <c r="D104" s="191"/>
      <c r="E104" s="191"/>
      <c r="F104" s="187" t="s">
        <v>232</v>
      </c>
      <c r="G104" s="188"/>
      <c r="H104" s="189"/>
      <c r="I104" s="189">
        <f>SUM(I95:I103)</f>
        <v>346440</v>
      </c>
      <c r="J104" s="189"/>
      <c r="K104" s="189">
        <f t="shared" ref="K104:M104" si="177">SUM(K95:K103)</f>
        <v>0</v>
      </c>
      <c r="L104" s="189">
        <f t="shared" si="177"/>
        <v>346440</v>
      </c>
      <c r="M104" s="189">
        <f t="shared" si="177"/>
        <v>346440</v>
      </c>
      <c r="N104" s="194"/>
      <c r="O104" s="264"/>
      <c r="P104" s="264"/>
      <c r="Q104" s="264"/>
      <c r="R104" s="264"/>
      <c r="S104" s="102"/>
      <c r="T104" s="1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30"/>
      <c r="AF104" s="130"/>
      <c r="AG104" s="130"/>
      <c r="AH104" s="130"/>
      <c r="AI104" s="130"/>
      <c r="AJ104" s="128"/>
      <c r="AK104" s="128"/>
      <c r="AL104" s="129"/>
      <c r="AM104" s="128"/>
      <c r="AN104" s="129"/>
      <c r="AO104" s="128"/>
      <c r="AP104" s="128"/>
      <c r="AQ104" s="128"/>
      <c r="AR104" s="128"/>
      <c r="AS104" s="130"/>
      <c r="AT104" s="130"/>
      <c r="AU104" s="128"/>
      <c r="AV104" s="128"/>
      <c r="AW104" s="130"/>
      <c r="AX104" s="130"/>
      <c r="AY104" s="130"/>
      <c r="AZ104" s="130"/>
      <c r="BA104" s="130"/>
      <c r="BB104" s="128"/>
      <c r="BC104" s="128"/>
      <c r="BD104" s="129"/>
      <c r="BE104" s="128"/>
      <c r="BF104" s="129"/>
      <c r="BG104" s="128"/>
      <c r="BH104" s="128"/>
      <c r="BI104" s="128"/>
      <c r="BJ104" s="128"/>
      <c r="BK104" s="130"/>
      <c r="BL104" s="130"/>
      <c r="BM104" s="128"/>
      <c r="BN104" s="128"/>
      <c r="BO104" s="130"/>
      <c r="BP104" s="124"/>
      <c r="BQ104" s="124"/>
      <c r="BR104" s="124"/>
      <c r="BS104" s="124"/>
      <c r="BT104" s="124"/>
      <c r="BU104" s="124"/>
      <c r="BV104" s="110"/>
      <c r="BW104" s="131"/>
      <c r="BX104" s="110"/>
      <c r="BY104" s="110"/>
      <c r="BZ104" s="99"/>
      <c r="CB104" s="99"/>
      <c r="CC104" s="99"/>
      <c r="CD104" s="99"/>
      <c r="CE104" s="99"/>
      <c r="CF104" s="99"/>
      <c r="CG104" s="99"/>
      <c r="CH104" s="99"/>
      <c r="CI104" s="99"/>
      <c r="CJ104" s="99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99"/>
    </row>
    <row r="105" spans="1:102" s="126" customFormat="1">
      <c r="A105" s="213"/>
      <c r="B105" s="191"/>
      <c r="C105" s="191"/>
      <c r="D105" s="191"/>
      <c r="E105" s="191"/>
      <c r="F105" s="187" t="s">
        <v>233</v>
      </c>
      <c r="G105" s="188"/>
      <c r="H105" s="189"/>
      <c r="I105" s="270">
        <f>I93+I104</f>
        <v>346440</v>
      </c>
      <c r="J105" s="270"/>
      <c r="K105" s="270">
        <f t="shared" ref="K105:M105" si="178">K93+K104</f>
        <v>0</v>
      </c>
      <c r="L105" s="270">
        <f t="shared" si="178"/>
        <v>346440</v>
      </c>
      <c r="M105" s="270">
        <f t="shared" si="178"/>
        <v>346440</v>
      </c>
      <c r="N105" s="194"/>
      <c r="O105" s="264"/>
      <c r="P105" s="264"/>
      <c r="Q105" s="264"/>
      <c r="R105" s="264"/>
      <c r="S105" s="102"/>
      <c r="T105" s="1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30"/>
      <c r="AF105" s="130"/>
      <c r="AG105" s="130"/>
      <c r="AH105" s="130"/>
      <c r="AI105" s="130"/>
      <c r="AJ105" s="128"/>
      <c r="AK105" s="128"/>
      <c r="AL105" s="129"/>
      <c r="AM105" s="128"/>
      <c r="AN105" s="129"/>
      <c r="AO105" s="128"/>
      <c r="AP105" s="128"/>
      <c r="AQ105" s="128"/>
      <c r="AR105" s="128"/>
      <c r="AS105" s="130"/>
      <c r="AT105" s="130"/>
      <c r="AU105" s="128"/>
      <c r="AV105" s="128"/>
      <c r="AW105" s="130"/>
      <c r="AX105" s="130"/>
      <c r="AY105" s="130"/>
      <c r="AZ105" s="130"/>
      <c r="BA105" s="130"/>
      <c r="BB105" s="128"/>
      <c r="BC105" s="128"/>
      <c r="BD105" s="129"/>
      <c r="BE105" s="128"/>
      <c r="BF105" s="129"/>
      <c r="BG105" s="128"/>
      <c r="BH105" s="128"/>
      <c r="BI105" s="128"/>
      <c r="BJ105" s="128"/>
      <c r="BK105" s="130"/>
      <c r="BL105" s="130"/>
      <c r="BM105" s="128"/>
      <c r="BN105" s="128"/>
      <c r="BO105" s="130"/>
      <c r="BP105" s="124"/>
      <c r="BQ105" s="124"/>
      <c r="BR105" s="124"/>
      <c r="BS105" s="124"/>
      <c r="BT105" s="124"/>
      <c r="BU105" s="124"/>
      <c r="BV105" s="110"/>
      <c r="BW105" s="131"/>
      <c r="BX105" s="110"/>
      <c r="BY105" s="110"/>
      <c r="BZ105" s="99"/>
      <c r="CB105" s="99"/>
      <c r="CC105" s="99"/>
      <c r="CD105" s="99"/>
      <c r="CE105" s="99"/>
      <c r="CF105" s="99"/>
      <c r="CG105" s="99"/>
      <c r="CH105" s="99"/>
      <c r="CI105" s="99"/>
      <c r="CJ105" s="99"/>
      <c r="CK105" s="99"/>
      <c r="CL105" s="99"/>
      <c r="CM105" s="99"/>
      <c r="CN105" s="99"/>
      <c r="CO105" s="99"/>
      <c r="CP105" s="99"/>
      <c r="CQ105" s="99"/>
      <c r="CR105" s="99"/>
      <c r="CS105" s="99"/>
      <c r="CT105" s="99"/>
      <c r="CU105" s="99"/>
      <c r="CV105" s="99"/>
      <c r="CW105" s="99"/>
      <c r="CX105" s="99"/>
    </row>
    <row r="106" spans="1:102" s="126" customFormat="1">
      <c r="A106" s="613" t="s">
        <v>410</v>
      </c>
      <c r="B106" s="611"/>
      <c r="C106" s="611"/>
      <c r="D106" s="611"/>
      <c r="E106" s="611"/>
      <c r="F106" s="611"/>
      <c r="G106" s="611"/>
      <c r="H106" s="611"/>
      <c r="I106" s="611"/>
      <c r="J106" s="611"/>
      <c r="K106" s="611"/>
      <c r="L106" s="611"/>
      <c r="M106" s="611"/>
      <c r="N106" s="612"/>
      <c r="O106" s="264"/>
      <c r="P106" s="264"/>
      <c r="Q106" s="264"/>
      <c r="R106" s="264"/>
      <c r="S106" s="102"/>
      <c r="T106" s="1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30"/>
      <c r="AF106" s="130"/>
      <c r="AG106" s="130"/>
      <c r="AH106" s="130"/>
      <c r="AI106" s="130"/>
      <c r="AJ106" s="128"/>
      <c r="AK106" s="128"/>
      <c r="AL106" s="129"/>
      <c r="AM106" s="128"/>
      <c r="AN106" s="129"/>
      <c r="AO106" s="128"/>
      <c r="AP106" s="128"/>
      <c r="AQ106" s="128"/>
      <c r="AR106" s="128"/>
      <c r="AS106" s="130"/>
      <c r="AT106" s="130"/>
      <c r="AU106" s="128"/>
      <c r="AV106" s="128"/>
      <c r="AW106" s="130"/>
      <c r="AX106" s="130"/>
      <c r="AY106" s="130"/>
      <c r="AZ106" s="130"/>
      <c r="BA106" s="130"/>
      <c r="BB106" s="128"/>
      <c r="BC106" s="128"/>
      <c r="BD106" s="129"/>
      <c r="BE106" s="128"/>
      <c r="BF106" s="129"/>
      <c r="BG106" s="128"/>
      <c r="BH106" s="128"/>
      <c r="BI106" s="128"/>
      <c r="BJ106" s="128"/>
      <c r="BK106" s="130"/>
      <c r="BL106" s="130"/>
      <c r="BM106" s="128"/>
      <c r="BN106" s="128"/>
      <c r="BO106" s="130"/>
      <c r="BP106" s="124"/>
      <c r="BQ106" s="124"/>
      <c r="BR106" s="124"/>
      <c r="BS106" s="124"/>
      <c r="BT106" s="124"/>
      <c r="BU106" s="124"/>
      <c r="BV106" s="110"/>
      <c r="BW106" s="131"/>
      <c r="BX106" s="110"/>
      <c r="BY106" s="110"/>
      <c r="BZ106" s="99"/>
      <c r="CB106" s="99"/>
      <c r="CC106" s="99"/>
      <c r="CD106" s="99"/>
      <c r="CE106" s="99"/>
      <c r="CF106" s="99"/>
      <c r="CG106" s="99"/>
      <c r="CH106" s="99"/>
      <c r="CI106" s="99"/>
      <c r="CJ106" s="99"/>
      <c r="CK106" s="99"/>
      <c r="CL106" s="99"/>
      <c r="CM106" s="99"/>
      <c r="CN106" s="99"/>
      <c r="CO106" s="99"/>
      <c r="CP106" s="99"/>
      <c r="CQ106" s="99"/>
      <c r="CR106" s="99"/>
      <c r="CS106" s="99"/>
      <c r="CT106" s="99"/>
      <c r="CU106" s="99"/>
      <c r="CV106" s="99"/>
      <c r="CW106" s="99"/>
      <c r="CX106" s="99"/>
    </row>
    <row r="107" spans="1:102" s="126" customFormat="1" ht="16.5" customHeight="1">
      <c r="A107" s="179">
        <v>2202</v>
      </c>
      <c r="B107" s="305">
        <v>1</v>
      </c>
      <c r="C107" s="180" t="str">
        <f>IF(ISNA(VLOOKUP(B107,Master!CD$59:CP$106,3,FALSE)),"",VLOOKUP(B107,Master!CD$59:CP$106,3,FALSE))</f>
        <v/>
      </c>
      <c r="D107" s="303" t="str">
        <f>IF(ISNA(VLOOKUP(B107,Master!CD$59:CP$106,7,FALSE)),"",VLOOKUP(B107,Master!CD$59:CP$106,7,FALSE))</f>
        <v/>
      </c>
      <c r="E107" s="303" t="str">
        <f>IF(ISNA(VLOOKUP(B107,Master!CD$59:CP$106,8,FALSE)),"",VLOOKUP(B107,Master!CD$59:CP$106,8,FALSE))</f>
        <v/>
      </c>
      <c r="F107" s="304" t="str">
        <f>IF(ISNA(VLOOKUP(B107,Master!CD$59:CP$106,4,FALSE)),"",VLOOKUP(B107,Master!CD$59:CP$106,4,FALSE))</f>
        <v/>
      </c>
      <c r="G107" s="211" t="str">
        <f>IF(ISNA(VLOOKUP(B107,Master!CD$59:CP$106,5,FALSE)),"",VLOOKUP(B107,Master!CD$59:CP$106,5,FALSE))</f>
        <v/>
      </c>
      <c r="H107" s="300" t="str">
        <f>IF(ISNA(VLOOKUP(B107,Master!CD$59:CP$106,6,FALSE)),"",VLOOKUP(B107,Master!CD$59:CP$106,6,FALSE))</f>
        <v/>
      </c>
      <c r="I107" s="179" t="str">
        <f>IF(AND(G107=""),"",H107*12)</f>
        <v/>
      </c>
      <c r="J107" s="181" t="str">
        <f>IF(AND(G107=""),"","Not Applicable")</f>
        <v/>
      </c>
      <c r="K107" s="179" t="str">
        <f>IF(AND(G107=""),"","0")</f>
        <v/>
      </c>
      <c r="L107" s="179" t="str">
        <f>IF(AND(G107=""),"",I107+K107)</f>
        <v/>
      </c>
      <c r="M107" s="179" t="str">
        <f>IF(AND(G107=""),"",L107)</f>
        <v/>
      </c>
      <c r="N107" s="185" t="str">
        <f>IF(AND(G107=""),"","SANVIDA")</f>
        <v/>
      </c>
      <c r="O107" s="301"/>
      <c r="P107" s="301"/>
      <c r="Q107" s="301"/>
      <c r="R107" s="301"/>
      <c r="S107" s="302"/>
      <c r="T107" s="117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30" t="str">
        <f t="shared" ref="AE107:AE116" si="179">IF(AND(H107=""),"",(IF(N107="FIX PAY",0,(H107-ROUNDUP(ROUND((H107*3%)-(H107*3%)*3%,0),-1)))))</f>
        <v/>
      </c>
      <c r="AF107" s="130" t="str">
        <f t="shared" ref="AF107:AF116" si="180">IF(AND(H107=""),"",$L107*$BP107)</f>
        <v/>
      </c>
      <c r="AG107" s="130" t="str">
        <f t="shared" ref="AG107:AG116" si="181">IF(AND(H107=""),"",$L107*$BQ107)</f>
        <v/>
      </c>
      <c r="AH107" s="130" t="str">
        <f t="shared" ref="AH107:AH116" si="182">IF(AND(H107=""),"",$L107*$BR107)</f>
        <v/>
      </c>
      <c r="AI107" s="130" t="str">
        <f t="shared" ref="AI107:AI116" si="183">IF(AND(H107=""),"",$L107*$BS107)</f>
        <v/>
      </c>
      <c r="AJ107" s="128" t="str">
        <f t="shared" ref="AJ107:AJ116" si="184">IF(AND(H107=""),"",ROUND((AF107+AG107)*$AJ$10,0)*BT107)</f>
        <v/>
      </c>
      <c r="AK107" s="128">
        <v>0</v>
      </c>
      <c r="AL107" s="129">
        <v>0</v>
      </c>
      <c r="AM107" s="128" t="str">
        <f t="shared" ref="AM107:AM116" si="185">IF(AND(H107=""),"",ROUND((AF107+AG107)*$AM$10,0)*BT107)</f>
        <v/>
      </c>
      <c r="AN107" s="129">
        <f t="shared" ref="AN107:AN116" si="186">$F$78*BQ107*BT107*(IF(H107&lt;=0,0,1))*(IF(G107&lt;=4800,1,0))</f>
        <v>0</v>
      </c>
      <c r="AO107" s="128">
        <f t="shared" ref="AO107:AO116" si="187">IF(AND(H107=""),0,ROUND((H107+ROUND(H107*$AJ$10,0))/2,0)*(IF(N107="FIX PAY",0,1)))</f>
        <v>0</v>
      </c>
      <c r="AP107" s="128">
        <f>IF(F107="CLERK GRADE I",1,IF(F107="CLERK GRADE II",1,0))*75*12*BT107*(IF(H107&lt;=0,0,1))*BU107</f>
        <v>0</v>
      </c>
      <c r="AQ107" s="128"/>
      <c r="AR107" s="128">
        <f>(IF(F107="LAB BOY",150,IF(F107="JAMADAR",150,IF(F107="PEON",150,0))))*12*BT107*(IF(H107&lt;=0,0,1))</f>
        <v>0</v>
      </c>
      <c r="AS107" s="130" t="str">
        <f t="shared" ref="AS107:AS116" si="188">IF(AND(H107=""),"",SUM(AJ107:AR107)+AF107+AG107)</f>
        <v/>
      </c>
      <c r="AT107" s="130" t="str">
        <f t="shared" ref="AT107:AT116" si="189">IF(AND(H107=""),"",AS107)</f>
        <v/>
      </c>
      <c r="AU107" s="128"/>
      <c r="AV107" s="128"/>
      <c r="AW107" s="130" t="str">
        <f t="shared" ref="AW107:AW116" si="190">IF(AND(H107=""),"",AT107+AU107+AV107)</f>
        <v/>
      </c>
      <c r="AX107" s="130" t="str">
        <f t="shared" ref="AX107:AX116" si="191">IF(AND(H107=""),"",M107*BP107)</f>
        <v/>
      </c>
      <c r="AY107" s="130" t="str">
        <f t="shared" ref="AY107:AY116" si="192">IF(AND(H107=""),"",M107*BQ107)</f>
        <v/>
      </c>
      <c r="AZ107" s="130" t="str">
        <f t="shared" ref="AZ107:AZ116" si="193">IF(AND(H107=""),"",M107*BR107)</f>
        <v/>
      </c>
      <c r="BA107" s="130" t="str">
        <f t="shared" ref="BA107:BA116" si="194">IF(AND(H107=""),"",M107*BS107)</f>
        <v/>
      </c>
      <c r="BB107" s="128" t="str">
        <f t="shared" ref="BB107:BB116" si="195">IF(AND(H107=""),"",ROUND((AX107+AY107)*$BB$10,0)*BT107)</f>
        <v/>
      </c>
      <c r="BC107" s="128"/>
      <c r="BD107" s="129">
        <v>4</v>
      </c>
      <c r="BE107" s="128" t="str">
        <f t="shared" ref="BE107:BE116" si="196">IF(AND(H107=""),"",ROUND((AX107+AY107)*$BE$10,0)*BT107)</f>
        <v/>
      </c>
      <c r="BF107" s="129">
        <f t="shared" ref="BF107:BF116" si="197">3387*2*BQ107*BT107*(IF(H107&lt;=0,0,1))*(IF(G107&lt;=4800,1,0))</f>
        <v>0</v>
      </c>
      <c r="BG107" s="128">
        <f t="shared" ref="BG107:BG116" si="198">IF(AND(H107=""),0,ROUND((AE107+ROUND(AE107*$AJ$10,0))/2,0)*(IF(N107="FIX PAY",0,1)))</f>
        <v>0</v>
      </c>
      <c r="BH107" s="128">
        <f>IF(F107="CLERK GRADE I",1,IF(F107="CLERK GRADE II",1,0))*75*12*BT107*(IF(H107&lt;=0,0,1))*BU107</f>
        <v>0</v>
      </c>
      <c r="BI107" s="128">
        <f>IF(AND(F107=""),0,(IF(F107="ASSISTANT",12,IF(F107="CLERK GRADE I",12,IF(F107="CLERK GRADE II",12,IF(F107="FIELDMAN &amp; FIELD REC",12,IF(F107="LAB BOY",12,IF(F107="JAMADAR",12,IF(F107="PEON",12,10))))))))*(MINA(ROUND(AE107*6%,0),600))*(IF($T107="yes",1,)))</f>
        <v>0</v>
      </c>
      <c r="BJ107" s="128" t="str">
        <f>IF(AND(H107=""),"",(IF(F107="LAB BOY",150,IF(F107="JAMADAR",150,IF(F107="PEON",150,0))))*12*BT107*(IF(H107&lt;=0,0,1)))</f>
        <v/>
      </c>
      <c r="BK107" s="130" t="str">
        <f t="shared" ref="BK107:BK116" si="199">IF(AND(H107=""),"",SUM(BB107:BJ107)+AX107+AY107)</f>
        <v/>
      </c>
      <c r="BL107" s="130" t="str">
        <f t="shared" ref="BL107:BL116" si="200">IF(AND(H107=""),"",BK107)</f>
        <v/>
      </c>
      <c r="BM107" s="128"/>
      <c r="BN107" s="128"/>
      <c r="BO107" s="130" t="str">
        <f t="shared" ref="BO107:BO116" si="201">IF(AND(H107=""),"",BL107+BM107+BN107)</f>
        <v/>
      </c>
      <c r="BP107" s="124">
        <f>(IF(F107="PRINCIPAL",1,IF(F107="H M",1,IF(F107="AGRICULTURE INST",1,IF(F107="TEACHER-1ST",1,IF(F107="PTI  I  (13)",1,IF(F107="AGRICULTURE TEACH",1,IF(F107="INSTRUCTOR",1,0))))))))+(IF(F107="JR TEACHER",1,IF(F107="LIBRARIAN I",1,0)))*(IF(N107="FIX PAY",0,1))</f>
        <v>0</v>
      </c>
      <c r="BQ107" s="124">
        <f t="shared" ref="BQ107:BQ116" si="202">IF(BP107&lt;=0,1,0)*(IF(N107="FIX PAY",0,1))</f>
        <v>1</v>
      </c>
      <c r="BR107" s="124">
        <f>(IF(F107="PRINCIPAL (16)",1,IF(F107="V P (14)",1,IF(F107="H M (14)",1,IF(F107="AGRICULTURE INST (13)",1,IF(F107="TEACHER-1ST (13)",1,IF(F107="PTI  I  (13)",1,IF(F107="AGRICULTURE TEACH (13)",1,IF(F107="INSTRUCTOR (13)",1,0))))))))+(IF(F107="JR TEACHER (13)",1,IF(F107="LIBRARIAN I (13)",1,0))))*(IF(N107="FIX PAY",1,0))</f>
        <v>0</v>
      </c>
      <c r="BS107" s="124">
        <f t="shared" ref="BS107:BS116" si="203">IF(BR107&lt;=0,1,0)*(IF(N107="FIX PAY",1,0))</f>
        <v>0</v>
      </c>
      <c r="BT107" s="124">
        <f t="shared" si="120"/>
        <v>0</v>
      </c>
      <c r="BU107" s="124">
        <f t="shared" ref="BU107:BU116" si="204">IF(W107="No",0,1)</f>
        <v>1</v>
      </c>
      <c r="BV107" s="110">
        <f>IF((ROUND((SUMPRODUCT(MID(0&amp;D107,LARGE(INDEX(ISNUMBER(--MID(D107,ROW($1:$25),1))* ROW($1:$25),0),ROW($1:$25))+1,1)*10^ROW($1:$25)/10)),-8)/100000000)&gt;=2004,1,0)</f>
        <v>0</v>
      </c>
      <c r="BW107" s="131">
        <f t="shared" ref="BW107:BW116" si="205">IF(H107&lt;=0,0,1)</f>
        <v>1</v>
      </c>
      <c r="BX107" s="110">
        <f t="shared" si="124"/>
        <v>0</v>
      </c>
      <c r="BY107" s="110">
        <f t="shared" si="125"/>
        <v>0</v>
      </c>
      <c r="BZ107" s="99" t="str">
        <f>IF(AND(D107=""),"",IF(AND(D107&lt;=0),"",IF((ROUND((SUMPRODUCT(MID(0&amp;D107,LARGE(INDEX(ISNUMBER(--MID(D107,ROW($1:$70),1))* ROW($1:$70),0),ROW($1:$70))+1,1)*10^ROW($1:$70)/10)),-8)/100000000)&lt;2004,1,0)))</f>
        <v/>
      </c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</row>
    <row r="108" spans="1:102" s="126" customFormat="1" ht="16.5" customHeight="1">
      <c r="A108" s="179">
        <v>2202</v>
      </c>
      <c r="B108" s="305">
        <v>2</v>
      </c>
      <c r="C108" s="180" t="str">
        <f>IF(ISNA(VLOOKUP(B108,Master!CD$59:CP$106,3,FALSE)),"",VLOOKUP(B108,Master!CD$59:CP$106,3,FALSE))</f>
        <v/>
      </c>
      <c r="D108" s="303" t="str">
        <f>IF(ISNA(VLOOKUP(B108,Master!CD$59:CP$106,7,FALSE)),"",VLOOKUP(B108,Master!CD$59:CP$106,7,FALSE))</f>
        <v/>
      </c>
      <c r="E108" s="303" t="str">
        <f>IF(ISNA(VLOOKUP(B108,Master!CD$59:CP$106,8,FALSE)),"",VLOOKUP(B108,Master!CD$59:CP$106,8,FALSE))</f>
        <v/>
      </c>
      <c r="F108" s="304" t="str">
        <f>IF(ISNA(VLOOKUP(B108,Master!CD$59:CP$106,4,FALSE)),"",VLOOKUP(B108,Master!CD$59:CP$106,4,FALSE))</f>
        <v/>
      </c>
      <c r="G108" s="211" t="str">
        <f>IF(ISNA(VLOOKUP(B108,Master!CD$59:CP$106,5,FALSE)),"",VLOOKUP(B108,Master!CD$59:CP$106,5,FALSE))</f>
        <v/>
      </c>
      <c r="H108" s="300" t="str">
        <f>IF(ISNA(VLOOKUP(B108,Master!CD$59:CP$106,6,FALSE)),"",VLOOKUP(B108,Master!CD$59:CP$106,6,FALSE))</f>
        <v/>
      </c>
      <c r="I108" s="179" t="str">
        <f t="shared" ref="I108:I110" si="206">IF(AND(G108=""),"",H108*12)</f>
        <v/>
      </c>
      <c r="J108" s="181" t="str">
        <f t="shared" ref="J108:J110" si="207">IF(AND(G108=""),"","Not Applicable")</f>
        <v/>
      </c>
      <c r="K108" s="179" t="str">
        <f t="shared" ref="K108:K110" si="208">IF(AND(G108=""),"","0")</f>
        <v/>
      </c>
      <c r="L108" s="179" t="str">
        <f t="shared" ref="L108:L110" si="209">IF(AND(G108=""),"",I108+K108)</f>
        <v/>
      </c>
      <c r="M108" s="179" t="str">
        <f t="shared" ref="M108:M110" si="210">IF(AND(G108=""),"",L108)</f>
        <v/>
      </c>
      <c r="N108" s="185" t="str">
        <f t="shared" ref="N108:N110" si="211">IF(AND(G108=""),"","SANVIDA")</f>
        <v/>
      </c>
      <c r="O108" s="301"/>
      <c r="P108" s="301"/>
      <c r="Q108" s="301"/>
      <c r="R108" s="301"/>
      <c r="S108" s="302"/>
      <c r="T108" s="117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30" t="str">
        <f t="shared" si="179"/>
        <v/>
      </c>
      <c r="AF108" s="130" t="str">
        <f t="shared" si="180"/>
        <v/>
      </c>
      <c r="AG108" s="130" t="str">
        <f t="shared" si="181"/>
        <v/>
      </c>
      <c r="AH108" s="130" t="str">
        <f t="shared" si="182"/>
        <v/>
      </c>
      <c r="AI108" s="130" t="str">
        <f t="shared" si="183"/>
        <v/>
      </c>
      <c r="AJ108" s="128" t="str">
        <f t="shared" si="184"/>
        <v/>
      </c>
      <c r="AK108" s="128">
        <v>0</v>
      </c>
      <c r="AL108" s="129">
        <v>0</v>
      </c>
      <c r="AM108" s="128" t="str">
        <f t="shared" si="185"/>
        <v/>
      </c>
      <c r="AN108" s="129">
        <f t="shared" si="186"/>
        <v>0</v>
      </c>
      <c r="AO108" s="128">
        <f t="shared" si="187"/>
        <v>0</v>
      </c>
      <c r="AP108" s="128">
        <f>IF(F108="CLERK GRADE I",1,IF(F108="CLERK GRADE II",1,0))*75*12*BT108*(IF(H108&lt;=0,0,1))*BU108</f>
        <v>0</v>
      </c>
      <c r="AQ108" s="128"/>
      <c r="AR108" s="128">
        <f>(IF(F108="LAB BOY",150,IF(F108="JAMADAR",150,IF(F108="PEON",150,0))))*12*BT108*(IF(H108&lt;=0,0,1))</f>
        <v>0</v>
      </c>
      <c r="AS108" s="130" t="str">
        <f t="shared" si="188"/>
        <v/>
      </c>
      <c r="AT108" s="130" t="str">
        <f t="shared" si="189"/>
        <v/>
      </c>
      <c r="AU108" s="128"/>
      <c r="AV108" s="128"/>
      <c r="AW108" s="130" t="str">
        <f t="shared" si="190"/>
        <v/>
      </c>
      <c r="AX108" s="130" t="str">
        <f t="shared" si="191"/>
        <v/>
      </c>
      <c r="AY108" s="130" t="str">
        <f t="shared" si="192"/>
        <v/>
      </c>
      <c r="AZ108" s="130" t="str">
        <f t="shared" si="193"/>
        <v/>
      </c>
      <c r="BA108" s="130" t="str">
        <f t="shared" si="194"/>
        <v/>
      </c>
      <c r="BB108" s="128" t="str">
        <f t="shared" si="195"/>
        <v/>
      </c>
      <c r="BC108" s="128"/>
      <c r="BD108" s="129">
        <v>5</v>
      </c>
      <c r="BE108" s="128" t="str">
        <f t="shared" si="196"/>
        <v/>
      </c>
      <c r="BF108" s="129">
        <f t="shared" si="197"/>
        <v>0</v>
      </c>
      <c r="BG108" s="128">
        <f t="shared" si="198"/>
        <v>0</v>
      </c>
      <c r="BH108" s="128">
        <f>IF(F108="CLERK GRADE I",1,IF(F108="CLERK GRADE II",1,0))*75*12*BT108*(IF(H108&lt;=0,0,1))*BU108</f>
        <v>0</v>
      </c>
      <c r="BI108" s="128">
        <f>IF(AND(F108=""),0,(IF(F108="ASSISTANT",12,IF(F108="CLERK GRADE I",12,IF(F108="CLERK GRADE II",12,IF(F108="FIELDMAN &amp; FIELD REC",12,IF(F108="LAB BOY",12,IF(F108="JAMADAR",12,IF(F108="PEON",12,10))))))))*(MINA(ROUND(AE108*6%,0),600))*(IF($T108="yes",1,)))</f>
        <v>0</v>
      </c>
      <c r="BJ108" s="128" t="str">
        <f>IF(AND(H108=""),"",(IF(F108="LAB BOY",150,IF(F108="JAMADAR",150,IF(F108="PEON",150,0))))*12*BT108*(IF(H108&lt;=0,0,1)))</f>
        <v/>
      </c>
      <c r="BK108" s="130" t="str">
        <f t="shared" si="199"/>
        <v/>
      </c>
      <c r="BL108" s="130" t="str">
        <f t="shared" si="200"/>
        <v/>
      </c>
      <c r="BM108" s="128"/>
      <c r="BN108" s="128"/>
      <c r="BO108" s="130" t="str">
        <f t="shared" si="201"/>
        <v/>
      </c>
      <c r="BP108" s="124">
        <f>(IF(F108="PRINCIPAL",1,IF(F108="H M",1,IF(F108="AGRICULTURE INST",1,IF(F108="TEACHER-1ST",1,IF(F108="PTI  I  (13)",1,IF(F108="AGRICULTURE TEACH",1,IF(F108="INSTRUCTOR",1,0))))))))+(IF(F108="JR TEACHER",1,IF(F108="LIBRARIAN I",1,0)))*(IF(N108="FIX PAY",0,1))</f>
        <v>0</v>
      </c>
      <c r="BQ108" s="124">
        <f t="shared" si="202"/>
        <v>1</v>
      </c>
      <c r="BR108" s="124">
        <f>(IF(F108="PRINCIPAL (16)",1,IF(F108="V P (14)",1,IF(F108="H M (14)",1,IF(F108="AGRICULTURE INST (13)",1,IF(F108="TEACHER-1ST (13)",1,IF(F108="PTI  I  (13)",1,IF(F108="AGRICULTURE TEACH (13)",1,IF(F108="INSTRUCTOR (13)",1,0))))))))+(IF(F108="JR TEACHER (13)",1,IF(F108="LIBRARIAN I (13)",1,0))))*(IF(N108="FIX PAY",1,0))</f>
        <v>0</v>
      </c>
      <c r="BS108" s="124">
        <f t="shared" si="203"/>
        <v>0</v>
      </c>
      <c r="BT108" s="124">
        <f t="shared" si="120"/>
        <v>0</v>
      </c>
      <c r="BU108" s="124">
        <f t="shared" si="204"/>
        <v>1</v>
      </c>
      <c r="BV108" s="110">
        <f>IF((ROUND((SUMPRODUCT(MID(0&amp;D108,LARGE(INDEX(ISNUMBER(--MID(D108,ROW($1:$25),1))* ROW($1:$25),0),ROW($1:$25))+1,1)*10^ROW($1:$25)/10)),-8)/100000000)&gt;=2004,1,0)</f>
        <v>0</v>
      </c>
      <c r="BW108" s="131">
        <f t="shared" si="205"/>
        <v>1</v>
      </c>
      <c r="BX108" s="110">
        <f t="shared" si="124"/>
        <v>0</v>
      </c>
      <c r="BY108" s="110">
        <f t="shared" si="125"/>
        <v>0</v>
      </c>
      <c r="BZ108" s="99" t="str">
        <f>IF(AND(D108=""),"",IF(AND(D108&lt;=0),"",IF((ROUND((SUMPRODUCT(MID(0&amp;D108,LARGE(INDEX(ISNUMBER(--MID(D108,ROW($1:$70),1))* ROW($1:$70),0),ROW($1:$70))+1,1)*10^ROW($1:$70)/10)),-8)/100000000)&lt;2004,1,0)))</f>
        <v/>
      </c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</row>
    <row r="109" spans="1:102" s="126" customFormat="1" ht="16.5" customHeight="1">
      <c r="A109" s="179">
        <v>2202</v>
      </c>
      <c r="B109" s="305">
        <v>3</v>
      </c>
      <c r="C109" s="180" t="str">
        <f>IF(ISNA(VLOOKUP(B109,Master!CD$59:CP$106,3,FALSE)),"",VLOOKUP(B109,Master!CD$59:CP$106,3,FALSE))</f>
        <v/>
      </c>
      <c r="D109" s="303" t="str">
        <f>IF(ISNA(VLOOKUP(B109,Master!CD$59:CP$106,7,FALSE)),"",VLOOKUP(B109,Master!CD$59:CP$106,7,FALSE))</f>
        <v/>
      </c>
      <c r="E109" s="303" t="str">
        <f>IF(ISNA(VLOOKUP(B109,Master!CD$59:CP$106,8,FALSE)),"",VLOOKUP(B109,Master!CD$59:CP$106,8,FALSE))</f>
        <v/>
      </c>
      <c r="F109" s="304" t="str">
        <f>IF(ISNA(VLOOKUP(B109,Master!CD$59:CP$106,4,FALSE)),"",VLOOKUP(B109,Master!CD$59:CP$106,4,FALSE))</f>
        <v/>
      </c>
      <c r="G109" s="211" t="str">
        <f>IF(ISNA(VLOOKUP(B109,Master!CD$59:CP$106,5,FALSE)),"",VLOOKUP(B109,Master!CD$59:CP$106,5,FALSE))</f>
        <v/>
      </c>
      <c r="H109" s="300" t="str">
        <f>IF(ISNA(VLOOKUP(B109,Master!CD$59:CP$106,6,FALSE)),"",VLOOKUP(B109,Master!CD$59:CP$106,6,FALSE))</f>
        <v/>
      </c>
      <c r="I109" s="179" t="str">
        <f t="shared" si="206"/>
        <v/>
      </c>
      <c r="J109" s="181" t="str">
        <f t="shared" si="207"/>
        <v/>
      </c>
      <c r="K109" s="179" t="str">
        <f t="shared" si="208"/>
        <v/>
      </c>
      <c r="L109" s="179" t="str">
        <f t="shared" si="209"/>
        <v/>
      </c>
      <c r="M109" s="179" t="str">
        <f t="shared" si="210"/>
        <v/>
      </c>
      <c r="N109" s="185" t="str">
        <f t="shared" si="211"/>
        <v/>
      </c>
      <c r="O109" s="301"/>
      <c r="P109" s="301"/>
      <c r="Q109" s="301"/>
      <c r="R109" s="301"/>
      <c r="S109" s="302"/>
      <c r="T109" s="117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30" t="str">
        <f t="shared" si="179"/>
        <v/>
      </c>
      <c r="AF109" s="130" t="str">
        <f t="shared" si="180"/>
        <v/>
      </c>
      <c r="AG109" s="130" t="str">
        <f t="shared" si="181"/>
        <v/>
      </c>
      <c r="AH109" s="130" t="str">
        <f t="shared" si="182"/>
        <v/>
      </c>
      <c r="AI109" s="130" t="str">
        <f t="shared" si="183"/>
        <v/>
      </c>
      <c r="AJ109" s="128" t="str">
        <f t="shared" si="184"/>
        <v/>
      </c>
      <c r="AK109" s="128">
        <v>0</v>
      </c>
      <c r="AL109" s="129">
        <v>0</v>
      </c>
      <c r="AM109" s="128" t="str">
        <f t="shared" si="185"/>
        <v/>
      </c>
      <c r="AN109" s="129">
        <f t="shared" si="186"/>
        <v>0</v>
      </c>
      <c r="AO109" s="128">
        <f t="shared" si="187"/>
        <v>0</v>
      </c>
      <c r="AP109" s="128">
        <f>IF(F109="CLERK GRADE I",1,IF(F109="CLERK GRADE II",1,0))*75*12*BT109*(IF(H109&lt;=0,0,1))*BU109</f>
        <v>0</v>
      </c>
      <c r="AQ109" s="128"/>
      <c r="AR109" s="128">
        <f>(IF(F109="LAB BOY",150,IF(F109="JAMADAR",150,IF(F109="PEON",150,0))))*12*BT109*(IF(H109&lt;=0,0,1))</f>
        <v>0</v>
      </c>
      <c r="AS109" s="130" t="str">
        <f t="shared" si="188"/>
        <v/>
      </c>
      <c r="AT109" s="130" t="str">
        <f t="shared" si="189"/>
        <v/>
      </c>
      <c r="AU109" s="128"/>
      <c r="AV109" s="128"/>
      <c r="AW109" s="130" t="str">
        <f t="shared" si="190"/>
        <v/>
      </c>
      <c r="AX109" s="130" t="str">
        <f t="shared" si="191"/>
        <v/>
      </c>
      <c r="AY109" s="130" t="str">
        <f t="shared" si="192"/>
        <v/>
      </c>
      <c r="AZ109" s="130" t="str">
        <f t="shared" si="193"/>
        <v/>
      </c>
      <c r="BA109" s="130" t="str">
        <f t="shared" si="194"/>
        <v/>
      </c>
      <c r="BB109" s="128" t="str">
        <f t="shared" si="195"/>
        <v/>
      </c>
      <c r="BC109" s="128"/>
      <c r="BD109" s="129">
        <v>6</v>
      </c>
      <c r="BE109" s="128" t="str">
        <f t="shared" si="196"/>
        <v/>
      </c>
      <c r="BF109" s="129">
        <f t="shared" si="197"/>
        <v>0</v>
      </c>
      <c r="BG109" s="128">
        <f t="shared" si="198"/>
        <v>0</v>
      </c>
      <c r="BH109" s="128">
        <f>IF(F109="CLERK GRADE I",1,IF(F109="CLERK GRADE II",1,0))*75*12*BT109*(IF(H109&lt;=0,0,1))*BU109</f>
        <v>0</v>
      </c>
      <c r="BI109" s="128">
        <f>IF(AND(F109=""),0,(IF(F109="ASSISTANT",12,IF(F109="CLERK GRADE I",12,IF(F109="CLERK GRADE II",12,IF(F109="FIELDMAN &amp; FIELD REC",12,IF(F109="LAB BOY",12,IF(F109="JAMADAR",12,IF(F109="PEON",12,10))))))))*(MINA(ROUND(AE109*6%,0),600))*(IF($T109="yes",1,)))</f>
        <v>0</v>
      </c>
      <c r="BJ109" s="128" t="str">
        <f>IF(AND(H109=""),"",(IF(F109="LAB BOY",150,IF(F109="JAMADAR",150,IF(F109="PEON",150,0))))*12*BT109*(IF(H109&lt;=0,0,1)))</f>
        <v/>
      </c>
      <c r="BK109" s="130" t="str">
        <f t="shared" si="199"/>
        <v/>
      </c>
      <c r="BL109" s="130" t="str">
        <f t="shared" si="200"/>
        <v/>
      </c>
      <c r="BM109" s="128"/>
      <c r="BN109" s="128"/>
      <c r="BO109" s="130" t="str">
        <f t="shared" si="201"/>
        <v/>
      </c>
      <c r="BP109" s="124">
        <f>(IF(F109="PRINCIPAL",1,IF(F109="H M",1,IF(F109="AGRICULTURE INST",1,IF(F109="TEACHER-1ST",1,IF(F109="PTI  I  (13)",1,IF(F109="AGRICULTURE TEACH",1,IF(F109="INSTRUCTOR",1,0))))))))+(IF(F109="JR TEACHER",1,IF(F109="LIBRARIAN I",1,0)))*(IF(N109="FIX PAY",0,1))</f>
        <v>0</v>
      </c>
      <c r="BQ109" s="124">
        <f t="shared" si="202"/>
        <v>1</v>
      </c>
      <c r="BR109" s="124">
        <f>(IF(F109="PRINCIPAL (16)",1,IF(F109="V P (14)",1,IF(F109="H M (14)",1,IF(F109="AGRICULTURE INST (13)",1,IF(F109="TEACHER-1ST (13)",1,IF(F109="PTI  I  (13)",1,IF(F109="AGRICULTURE TEACH (13)",1,IF(F109="INSTRUCTOR (13)",1,0))))))))+(IF(F109="JR TEACHER (13)",1,IF(F109="LIBRARIAN I (13)",1,0))))*(IF(N109="FIX PAY",1,0))</f>
        <v>0</v>
      </c>
      <c r="BS109" s="124">
        <f t="shared" si="203"/>
        <v>0</v>
      </c>
      <c r="BT109" s="124">
        <f t="shared" si="120"/>
        <v>0</v>
      </c>
      <c r="BU109" s="124">
        <f t="shared" si="204"/>
        <v>1</v>
      </c>
      <c r="BV109" s="110">
        <f>IF((ROUND((SUMPRODUCT(MID(0&amp;D109,LARGE(INDEX(ISNUMBER(--MID(D109,ROW($1:$25),1))* ROW($1:$25),0),ROW($1:$25))+1,1)*10^ROW($1:$25)/10)),-8)/100000000)&gt;=2004,1,0)</f>
        <v>0</v>
      </c>
      <c r="BW109" s="131">
        <f t="shared" si="205"/>
        <v>1</v>
      </c>
      <c r="BX109" s="110">
        <f t="shared" si="124"/>
        <v>0</v>
      </c>
      <c r="BY109" s="110">
        <f t="shared" si="125"/>
        <v>0</v>
      </c>
      <c r="BZ109" s="99" t="str">
        <f>IF(AND(D109=""),"",IF(AND(D109&lt;=0),"",IF((ROUND((SUMPRODUCT(MID(0&amp;D109,LARGE(INDEX(ISNUMBER(--MID(D109,ROW($1:$70),1))* ROW($1:$70),0),ROW($1:$70))+1,1)*10^ROW($1:$70)/10)),-8)/100000000)&lt;2004,1,0)))</f>
        <v/>
      </c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</row>
    <row r="110" spans="1:102" s="126" customFormat="1" ht="16.5" customHeight="1">
      <c r="A110" s="179">
        <v>2202</v>
      </c>
      <c r="B110" s="305">
        <v>4</v>
      </c>
      <c r="C110" s="180" t="str">
        <f>IF(ISNA(VLOOKUP(B110,Master!CD$59:CP$106,3,FALSE)),"",VLOOKUP(B110,Master!CD$59:CP$106,3,FALSE))</f>
        <v/>
      </c>
      <c r="D110" s="303" t="str">
        <f>IF(ISNA(VLOOKUP(B110,Master!CD$59:CP$106,7,FALSE)),"",VLOOKUP(B110,Master!CD$59:CP$106,7,FALSE))</f>
        <v/>
      </c>
      <c r="E110" s="303" t="str">
        <f>IF(ISNA(VLOOKUP(B110,Master!CD$59:CP$106,8,FALSE)),"",VLOOKUP(B110,Master!CD$59:CP$106,8,FALSE))</f>
        <v/>
      </c>
      <c r="F110" s="304" t="str">
        <f>IF(ISNA(VLOOKUP(B110,Master!CD$59:CP$106,4,FALSE)),"",VLOOKUP(B110,Master!CD$59:CP$106,4,FALSE))</f>
        <v/>
      </c>
      <c r="G110" s="211" t="str">
        <f>IF(ISNA(VLOOKUP(B110,Master!CD$59:CP$106,5,FALSE)),"",VLOOKUP(B110,Master!CD$59:CP$106,5,FALSE))</f>
        <v/>
      </c>
      <c r="H110" s="300" t="str">
        <f>IF(ISNA(VLOOKUP(B110,Master!CD$59:CP$106,6,FALSE)),"",VLOOKUP(B110,Master!CD$59:CP$106,6,FALSE))</f>
        <v/>
      </c>
      <c r="I110" s="179" t="str">
        <f t="shared" si="206"/>
        <v/>
      </c>
      <c r="J110" s="181" t="str">
        <f t="shared" si="207"/>
        <v/>
      </c>
      <c r="K110" s="179" t="str">
        <f t="shared" si="208"/>
        <v/>
      </c>
      <c r="L110" s="179" t="str">
        <f t="shared" si="209"/>
        <v/>
      </c>
      <c r="M110" s="179" t="str">
        <f t="shared" si="210"/>
        <v/>
      </c>
      <c r="N110" s="185" t="str">
        <f t="shared" si="211"/>
        <v/>
      </c>
      <c r="O110" s="301"/>
      <c r="P110" s="301"/>
      <c r="Q110" s="301"/>
      <c r="R110" s="301"/>
      <c r="S110" s="302"/>
      <c r="T110" s="117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30" t="str">
        <f t="shared" si="179"/>
        <v/>
      </c>
      <c r="AF110" s="130" t="str">
        <f t="shared" si="180"/>
        <v/>
      </c>
      <c r="AG110" s="130" t="str">
        <f t="shared" si="181"/>
        <v/>
      </c>
      <c r="AH110" s="130" t="str">
        <f t="shared" si="182"/>
        <v/>
      </c>
      <c r="AI110" s="130" t="str">
        <f t="shared" si="183"/>
        <v/>
      </c>
      <c r="AJ110" s="128" t="str">
        <f t="shared" si="184"/>
        <v/>
      </c>
      <c r="AK110" s="128">
        <v>0</v>
      </c>
      <c r="AL110" s="129">
        <v>0</v>
      </c>
      <c r="AM110" s="128" t="str">
        <f t="shared" si="185"/>
        <v/>
      </c>
      <c r="AN110" s="129">
        <f t="shared" si="186"/>
        <v>0</v>
      </c>
      <c r="AO110" s="128">
        <f t="shared" si="187"/>
        <v>0</v>
      </c>
      <c r="AP110" s="128">
        <f>IF(F110="CLERK GRADE I",1,IF(F110="CLERK GRADE II",1,0))*75*12*BT110*(IF(H110&lt;=0,0,1))*BU110</f>
        <v>0</v>
      </c>
      <c r="AQ110" s="128"/>
      <c r="AR110" s="128">
        <f>(IF(F110="LAB BOY",150,IF(F110="JAMADAR",150,IF(F110="PEON",150,0))))*12*BT110*(IF(H110&lt;=0,0,1))</f>
        <v>0</v>
      </c>
      <c r="AS110" s="130" t="str">
        <f t="shared" si="188"/>
        <v/>
      </c>
      <c r="AT110" s="130" t="str">
        <f t="shared" si="189"/>
        <v/>
      </c>
      <c r="AU110" s="128"/>
      <c r="AV110" s="128"/>
      <c r="AW110" s="130" t="str">
        <f t="shared" si="190"/>
        <v/>
      </c>
      <c r="AX110" s="130" t="str">
        <f t="shared" si="191"/>
        <v/>
      </c>
      <c r="AY110" s="130" t="str">
        <f t="shared" si="192"/>
        <v/>
      </c>
      <c r="AZ110" s="130" t="str">
        <f t="shared" si="193"/>
        <v/>
      </c>
      <c r="BA110" s="130" t="str">
        <f t="shared" si="194"/>
        <v/>
      </c>
      <c r="BB110" s="128" t="str">
        <f t="shared" si="195"/>
        <v/>
      </c>
      <c r="BC110" s="128"/>
      <c r="BD110" s="129">
        <v>7</v>
      </c>
      <c r="BE110" s="128" t="str">
        <f t="shared" si="196"/>
        <v/>
      </c>
      <c r="BF110" s="129">
        <f t="shared" si="197"/>
        <v>0</v>
      </c>
      <c r="BG110" s="128">
        <f t="shared" si="198"/>
        <v>0</v>
      </c>
      <c r="BH110" s="128">
        <f>IF(F110="CLERK GRADE I",1,IF(F110="CLERK GRADE II",1,0))*75*12*BT110*(IF(H110&lt;=0,0,1))*BU110</f>
        <v>0</v>
      </c>
      <c r="BI110" s="128">
        <f>IF(AND(F110=""),0,(IF(F110="ASSISTANT",12,IF(F110="CLERK GRADE I",12,IF(F110="CLERK GRADE II",12,IF(F110="FIELDMAN &amp; FIELD REC",12,IF(F110="LAB BOY",12,IF(F110="JAMADAR",12,IF(F110="PEON",12,10))))))))*(MINA(ROUND(AE110*6%,0),600))*(IF($T110="yes",1,)))</f>
        <v>0</v>
      </c>
      <c r="BJ110" s="128" t="str">
        <f>IF(AND(H110=""),"",(IF(F110="LAB BOY",150,IF(F110="JAMADAR",150,IF(F110="PEON",150,0))))*12*BT110*(IF(H110&lt;=0,0,1)))</f>
        <v/>
      </c>
      <c r="BK110" s="130" t="str">
        <f t="shared" si="199"/>
        <v/>
      </c>
      <c r="BL110" s="130" t="str">
        <f t="shared" si="200"/>
        <v/>
      </c>
      <c r="BM110" s="128"/>
      <c r="BN110" s="128"/>
      <c r="BO110" s="130" t="str">
        <f t="shared" si="201"/>
        <v/>
      </c>
      <c r="BP110" s="124">
        <f>(IF(F110="PRINCIPAL",1,IF(F110="H M",1,IF(F110="AGRICULTURE INST",1,IF(F110="TEACHER-1ST",1,IF(F110="PTI  I  (13)",1,IF(F110="AGRICULTURE TEACH",1,IF(F110="INSTRUCTOR",1,0))))))))+(IF(F110="JR TEACHER",1,IF(F110="LIBRARIAN I",1,0)))*(IF(N110="FIX PAY",0,1))</f>
        <v>0</v>
      </c>
      <c r="BQ110" s="124">
        <f t="shared" si="202"/>
        <v>1</v>
      </c>
      <c r="BR110" s="124">
        <f>(IF(F110="PRINCIPAL (16)",1,IF(F110="V P (14)",1,IF(F110="H M (14)",1,IF(F110="AGRICULTURE INST (13)",1,IF(F110="TEACHER-1ST (13)",1,IF(F110="PTI  I  (13)",1,IF(F110="AGRICULTURE TEACH (13)",1,IF(F110="INSTRUCTOR (13)",1,0))))))))+(IF(F110="JR TEACHER (13)",1,IF(F110="LIBRARIAN I (13)",1,0))))*(IF(N110="FIX PAY",1,0))</f>
        <v>0</v>
      </c>
      <c r="BS110" s="124">
        <f t="shared" si="203"/>
        <v>0</v>
      </c>
      <c r="BT110" s="124">
        <f t="shared" si="120"/>
        <v>0</v>
      </c>
      <c r="BU110" s="124">
        <f t="shared" si="204"/>
        <v>1</v>
      </c>
      <c r="BV110" s="110">
        <f>IF((ROUND((SUMPRODUCT(MID(0&amp;D110,LARGE(INDEX(ISNUMBER(--MID(D110,ROW($1:$25),1))* ROW($1:$25),0),ROW($1:$25))+1,1)*10^ROW($1:$25)/10)),-8)/100000000)&gt;=2004,1,0)</f>
        <v>0</v>
      </c>
      <c r="BW110" s="131">
        <f t="shared" si="205"/>
        <v>1</v>
      </c>
      <c r="BX110" s="110">
        <f t="shared" si="124"/>
        <v>0</v>
      </c>
      <c r="BY110" s="110">
        <f t="shared" si="125"/>
        <v>0</v>
      </c>
      <c r="BZ110" s="99" t="str">
        <f>IF(AND(D110=""),"",IF(AND(D110&lt;=0),"",IF((ROUND((SUMPRODUCT(MID(0&amp;D110,LARGE(INDEX(ISNUMBER(--MID(D110,ROW($1:$70),1))* ROW($1:$70),0),ROW($1:$70))+1,1)*10^ROW($1:$70)/10)),-8)/100000000)&lt;2004,1,0)))</f>
        <v/>
      </c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</row>
    <row r="111" spans="1:102" s="126" customFormat="1">
      <c r="A111" s="298"/>
      <c r="B111" s="299"/>
      <c r="C111" s="299"/>
      <c r="D111" s="299"/>
      <c r="E111" s="299"/>
      <c r="F111" s="187" t="s">
        <v>411</v>
      </c>
      <c r="G111" s="189"/>
      <c r="H111" s="189"/>
      <c r="I111" s="270">
        <f>SUM(I107:I110)</f>
        <v>0</v>
      </c>
      <c r="J111" s="270"/>
      <c r="K111" s="270">
        <f t="shared" ref="K111:M111" si="212">SUM(K107:K110)</f>
        <v>0</v>
      </c>
      <c r="L111" s="270">
        <f t="shared" si="212"/>
        <v>0</v>
      </c>
      <c r="M111" s="270">
        <f t="shared" si="212"/>
        <v>0</v>
      </c>
      <c r="N111" s="195"/>
      <c r="O111" s="264"/>
      <c r="P111" s="264"/>
      <c r="Q111" s="264"/>
      <c r="R111" s="264"/>
      <c r="S111" s="102"/>
      <c r="T111" s="1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30"/>
      <c r="AF111" s="130"/>
      <c r="AG111" s="130"/>
      <c r="AH111" s="130"/>
      <c r="AI111" s="130"/>
      <c r="AJ111" s="128"/>
      <c r="AK111" s="128"/>
      <c r="AL111" s="129"/>
      <c r="AM111" s="128"/>
      <c r="AN111" s="129"/>
      <c r="AO111" s="128"/>
      <c r="AP111" s="128"/>
      <c r="AQ111" s="128"/>
      <c r="AR111" s="128"/>
      <c r="AS111" s="130"/>
      <c r="AT111" s="130"/>
      <c r="AU111" s="128"/>
      <c r="AV111" s="128"/>
      <c r="AW111" s="130"/>
      <c r="AX111" s="130"/>
      <c r="AY111" s="130"/>
      <c r="AZ111" s="130"/>
      <c r="BA111" s="130"/>
      <c r="BB111" s="128"/>
      <c r="BC111" s="128"/>
      <c r="BD111" s="129"/>
      <c r="BE111" s="128"/>
      <c r="BF111" s="129"/>
      <c r="BG111" s="128"/>
      <c r="BH111" s="128"/>
      <c r="BI111" s="128"/>
      <c r="BJ111" s="128"/>
      <c r="BK111" s="130"/>
      <c r="BL111" s="130"/>
      <c r="BM111" s="128"/>
      <c r="BN111" s="128"/>
      <c r="BO111" s="130"/>
      <c r="BP111" s="124"/>
      <c r="BQ111" s="124"/>
      <c r="BR111" s="124"/>
      <c r="BS111" s="124"/>
      <c r="BT111" s="124"/>
      <c r="BU111" s="124"/>
      <c r="BV111" s="110"/>
      <c r="BW111" s="131"/>
      <c r="BX111" s="110"/>
      <c r="BY111" s="110"/>
      <c r="BZ111" s="99"/>
      <c r="CB111" s="99"/>
      <c r="CC111" s="99"/>
      <c r="CD111" s="99"/>
      <c r="CE111" s="99"/>
      <c r="CF111" s="99"/>
      <c r="CG111" s="99"/>
      <c r="CH111" s="99"/>
      <c r="CI111" s="99"/>
      <c r="CJ111" s="99"/>
      <c r="CK111" s="99"/>
      <c r="CL111" s="99"/>
      <c r="CM111" s="99"/>
      <c r="CN111" s="99"/>
      <c r="CO111" s="99"/>
      <c r="CP111" s="99"/>
      <c r="CQ111" s="99"/>
      <c r="CR111" s="99"/>
      <c r="CS111" s="99"/>
      <c r="CT111" s="99"/>
      <c r="CU111" s="99"/>
      <c r="CV111" s="99"/>
      <c r="CW111" s="99"/>
      <c r="CX111" s="99"/>
    </row>
    <row r="112" spans="1:102" s="126" customFormat="1">
      <c r="A112" s="212"/>
      <c r="B112" s="611" t="s">
        <v>412</v>
      </c>
      <c r="C112" s="611"/>
      <c r="D112" s="611"/>
      <c r="E112" s="611"/>
      <c r="F112" s="611"/>
      <c r="G112" s="611"/>
      <c r="H112" s="611"/>
      <c r="I112" s="611"/>
      <c r="J112" s="611"/>
      <c r="K112" s="611"/>
      <c r="L112" s="611"/>
      <c r="M112" s="611"/>
      <c r="N112" s="612"/>
      <c r="O112" s="264"/>
      <c r="P112" s="264"/>
      <c r="Q112" s="264"/>
      <c r="R112" s="264"/>
      <c r="S112" s="102"/>
      <c r="T112" s="1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30"/>
      <c r="AF112" s="130"/>
      <c r="AG112" s="130"/>
      <c r="AH112" s="130"/>
      <c r="AI112" s="130"/>
      <c r="AJ112" s="128"/>
      <c r="AK112" s="128"/>
      <c r="AL112" s="129"/>
      <c r="AM112" s="128"/>
      <c r="AN112" s="129"/>
      <c r="AO112" s="128"/>
      <c r="AP112" s="128"/>
      <c r="AQ112" s="128"/>
      <c r="AR112" s="128"/>
      <c r="AS112" s="130"/>
      <c r="AT112" s="130"/>
      <c r="AU112" s="128"/>
      <c r="AV112" s="128"/>
      <c r="AW112" s="130"/>
      <c r="AX112" s="130"/>
      <c r="AY112" s="130"/>
      <c r="AZ112" s="130"/>
      <c r="BA112" s="130"/>
      <c r="BB112" s="128"/>
      <c r="BC112" s="128"/>
      <c r="BD112" s="129"/>
      <c r="BE112" s="128"/>
      <c r="BF112" s="129"/>
      <c r="BG112" s="128"/>
      <c r="BH112" s="128"/>
      <c r="BI112" s="128"/>
      <c r="BJ112" s="128"/>
      <c r="BK112" s="130"/>
      <c r="BL112" s="130"/>
      <c r="BM112" s="128"/>
      <c r="BN112" s="128"/>
      <c r="BO112" s="130"/>
      <c r="BP112" s="124"/>
      <c r="BQ112" s="124"/>
      <c r="BR112" s="124"/>
      <c r="BS112" s="124"/>
      <c r="BT112" s="124"/>
      <c r="BU112" s="124"/>
      <c r="BV112" s="110"/>
      <c r="BW112" s="131"/>
      <c r="BX112" s="110"/>
      <c r="BY112" s="110"/>
      <c r="BZ112" s="99"/>
      <c r="CB112" s="99"/>
      <c r="CC112" s="99"/>
      <c r="CD112" s="99"/>
      <c r="CE112" s="99"/>
      <c r="CF112" s="99"/>
      <c r="CG112" s="99"/>
      <c r="CH112" s="99"/>
      <c r="CI112" s="99"/>
      <c r="CJ112" s="99"/>
      <c r="CK112" s="99"/>
      <c r="CL112" s="99"/>
      <c r="CM112" s="99"/>
      <c r="CN112" s="99"/>
      <c r="CO112" s="99"/>
      <c r="CP112" s="99"/>
      <c r="CQ112" s="99"/>
      <c r="CR112" s="99"/>
      <c r="CS112" s="99"/>
      <c r="CT112" s="99"/>
      <c r="CU112" s="99"/>
      <c r="CV112" s="99"/>
      <c r="CW112" s="99"/>
      <c r="CX112" s="99"/>
    </row>
    <row r="113" spans="1:102" s="126" customFormat="1" ht="16.5" customHeight="1">
      <c r="A113" s="179">
        <v>2202</v>
      </c>
      <c r="B113" s="305">
        <v>1</v>
      </c>
      <c r="C113" s="180" t="str">
        <f>IF(ISNA(VLOOKUP(B113,Master!CQ$59:CQ$106,3,FALSE)),"",VLOOKUP(B113,Master!BQ$59:DC$106,3,FALSE))</f>
        <v/>
      </c>
      <c r="D113" s="307" t="str">
        <f>IF(ISNA(VLOOKUP(B113,Master!CQ$59:CQ$106,7,FALSE)),"",VLOOKUP(B113,Master!BQ$59:DC$106,7,FALSE))</f>
        <v/>
      </c>
      <c r="E113" s="307" t="str">
        <f>IF(ISNA(VLOOKUP(B113,Master!CQ$59:CQ$106,8,FALSE)),"",VLOOKUP(B113,Master!BQ$59:DC$106,8,FALSE))</f>
        <v/>
      </c>
      <c r="F113" s="308" t="str">
        <f>IF(ISNA(VLOOKUP(B113,Master!CQ$59:CQ$106,4,FALSE)),"",VLOOKUP(B113,Master!BQ$59:DC$106,4,FALSE))</f>
        <v/>
      </c>
      <c r="G113" s="211" t="str">
        <f>IF(ISNA(VLOOKUP(B113,Master!CQ$59:CQ$106,5,FALSE)),"",VLOOKUP(B113,Master!BQ$59:DC$106,5,FALSE))</f>
        <v/>
      </c>
      <c r="H113" s="300" t="str">
        <f>IF(ISNA(VLOOKUP(B113,Master!CQ$59:CQ$106,6,FALSE)),"",VLOOKUP(B113,Master!BQ$59:DC$106,6,FALSE))</f>
        <v/>
      </c>
      <c r="I113" s="179" t="str">
        <f>IF(AND(G113=""),"",H113*12)</f>
        <v/>
      </c>
      <c r="J113" s="181" t="str">
        <f>IF(AND(G113=""),"","Not Applicable")</f>
        <v/>
      </c>
      <c r="K113" s="179" t="str">
        <f>IF(AND(G113=""),"","0")</f>
        <v/>
      </c>
      <c r="L113" s="179" t="str">
        <f>IF(AND(G113=""),"",I113+K113)</f>
        <v/>
      </c>
      <c r="M113" s="179" t="str">
        <f>IF(AND(G113=""),"",L113)</f>
        <v/>
      </c>
      <c r="N113" s="185" t="str">
        <f>IF(AND(G113=""),"","SANVIDA")</f>
        <v/>
      </c>
      <c r="O113" s="264"/>
      <c r="P113" s="264"/>
      <c r="Q113" s="264"/>
      <c r="R113" s="264"/>
      <c r="S113" s="102"/>
      <c r="T113" s="1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30" t="str">
        <f t="shared" si="179"/>
        <v/>
      </c>
      <c r="AF113" s="130" t="str">
        <f t="shared" si="180"/>
        <v/>
      </c>
      <c r="AG113" s="130" t="str">
        <f t="shared" si="181"/>
        <v/>
      </c>
      <c r="AH113" s="130" t="str">
        <f t="shared" si="182"/>
        <v/>
      </c>
      <c r="AI113" s="130" t="str">
        <f t="shared" si="183"/>
        <v/>
      </c>
      <c r="AJ113" s="128" t="str">
        <f t="shared" si="184"/>
        <v/>
      </c>
      <c r="AK113" s="128">
        <v>0</v>
      </c>
      <c r="AL113" s="129">
        <v>0</v>
      </c>
      <c r="AM113" s="128" t="str">
        <f t="shared" si="185"/>
        <v/>
      </c>
      <c r="AN113" s="129">
        <f t="shared" si="186"/>
        <v>0</v>
      </c>
      <c r="AO113" s="128">
        <f t="shared" si="187"/>
        <v>0</v>
      </c>
      <c r="AP113" s="128">
        <f>IF(F113="CLERK GRADE I",1,IF(F113="CLERK GRADE II",1,0))*75*12*BT113*(IF(H113&lt;=0,0,1))*BU113</f>
        <v>0</v>
      </c>
      <c r="AQ113" s="128"/>
      <c r="AR113" s="128">
        <f>(IF(F113="LAB BOY",150,IF(F113="JAMADAR",150,IF(F113="PEON",150,0))))*12*BT113*(IF(H113&lt;=0,0,1))</f>
        <v>0</v>
      </c>
      <c r="AS113" s="130" t="str">
        <f t="shared" si="188"/>
        <v/>
      </c>
      <c r="AT113" s="130" t="str">
        <f t="shared" si="189"/>
        <v/>
      </c>
      <c r="AU113" s="128"/>
      <c r="AV113" s="128"/>
      <c r="AW113" s="130" t="str">
        <f t="shared" si="190"/>
        <v/>
      </c>
      <c r="AX113" s="130" t="str">
        <f t="shared" si="191"/>
        <v/>
      </c>
      <c r="AY113" s="130" t="str">
        <f t="shared" si="192"/>
        <v/>
      </c>
      <c r="AZ113" s="130" t="str">
        <f t="shared" si="193"/>
        <v/>
      </c>
      <c r="BA113" s="130" t="str">
        <f t="shared" si="194"/>
        <v/>
      </c>
      <c r="BB113" s="128" t="str">
        <f t="shared" si="195"/>
        <v/>
      </c>
      <c r="BC113" s="128"/>
      <c r="BD113" s="129">
        <v>10</v>
      </c>
      <c r="BE113" s="128" t="str">
        <f t="shared" si="196"/>
        <v/>
      </c>
      <c r="BF113" s="129">
        <f t="shared" si="197"/>
        <v>0</v>
      </c>
      <c r="BG113" s="128">
        <f t="shared" si="198"/>
        <v>0</v>
      </c>
      <c r="BH113" s="128">
        <f>IF(F113="CLERK GRADE I",1,IF(F113="CLERK GRADE II",1,0))*75*12*BT113*(IF(H113&lt;=0,0,1))*BU113</f>
        <v>0</v>
      </c>
      <c r="BI113" s="128">
        <f>IF(AND(F113=""),0,(IF(F113="ASSISTANT",12,IF(F113="CLERK GRADE I",12,IF(F113="CLERK GRADE II",12,IF(F113="FIELDMAN &amp; FIELD REC",12,IF(F113="LAB BOY",12,IF(F113="JAMADAR",12,IF(F113="PEON",12,10))))))))*(MINA(ROUND(AE113*6%,0),600))*(IF($T113="yes",1,)))</f>
        <v>0</v>
      </c>
      <c r="BJ113" s="128" t="str">
        <f>IF(AND(H113=""),"",(IF(F113="LAB BOY",150,IF(F113="JAMADAR",150,IF(F113="PEON",150,0))))*12*BT113*(IF(H113&lt;=0,0,1)))</f>
        <v/>
      </c>
      <c r="BK113" s="130" t="str">
        <f t="shared" si="199"/>
        <v/>
      </c>
      <c r="BL113" s="130" t="str">
        <f t="shared" si="200"/>
        <v/>
      </c>
      <c r="BM113" s="128"/>
      <c r="BN113" s="128"/>
      <c r="BO113" s="130" t="str">
        <f t="shared" si="201"/>
        <v/>
      </c>
      <c r="BP113" s="124">
        <f>(IF(F113="PRINCIPAL",1,IF(F113="H M",1,IF(F113="AGRICULTURE INST",1,IF(F113="TEACHER-1ST",1,IF(F113="PTI  I  (13)",1,IF(F113="AGRICULTURE TEACH",1,IF(F113="INSTRUCTOR",1,0))))))))+(IF(F113="JR TEACHER",1,IF(F113="LIBRARIAN I",1,0)))*(IF(N113="FIX PAY",0,1))</f>
        <v>0</v>
      </c>
      <c r="BQ113" s="124">
        <f t="shared" si="202"/>
        <v>1</v>
      </c>
      <c r="BR113" s="124">
        <f>(IF(F113="PRINCIPAL (16)",1,IF(F113="V P (14)",1,IF(F113="H M (14)",1,IF(F113="AGRICULTURE INST (13)",1,IF(F113="TEACHER-1ST (13)",1,IF(F113="PTI  I  (13)",1,IF(F113="AGRICULTURE TEACH (13)",1,IF(F113="INSTRUCTOR (13)",1,0))))))))+(IF(F113="JR TEACHER (13)",1,IF(F113="LIBRARIAN I (13)",1,0))))*(IF(N113="FIX PAY",1,0))</f>
        <v>0</v>
      </c>
      <c r="BS113" s="124">
        <f t="shared" si="203"/>
        <v>0</v>
      </c>
      <c r="BT113" s="124">
        <f t="shared" si="120"/>
        <v>0</v>
      </c>
      <c r="BU113" s="124">
        <f t="shared" si="204"/>
        <v>1</v>
      </c>
      <c r="BV113" s="110">
        <f>IF((ROUND((SUMPRODUCT(MID(0&amp;D113,LARGE(INDEX(ISNUMBER(--MID(D113,ROW($1:$25),1))* ROW($1:$25),0),ROW($1:$25))+1,1)*10^ROW($1:$25)/10)),-8)/100000000)&gt;=2004,1,0)</f>
        <v>0</v>
      </c>
      <c r="BW113" s="131">
        <f t="shared" si="205"/>
        <v>1</v>
      </c>
      <c r="BX113" s="110">
        <f t="shared" si="124"/>
        <v>0</v>
      </c>
      <c r="BY113" s="110">
        <f t="shared" si="125"/>
        <v>0</v>
      </c>
      <c r="BZ113" s="99" t="str">
        <f>IF(AND(D113=""),"",IF(AND(D113&lt;=0),"",IF((ROUND((SUMPRODUCT(MID(0&amp;D113,LARGE(INDEX(ISNUMBER(--MID(D113,ROW($1:$70),1))* ROW($1:$70),0),ROW($1:$70))+1,1)*10^ROW($1:$70)/10)),-8)/100000000)&lt;2004,1,0)))</f>
        <v/>
      </c>
      <c r="CB113" s="99"/>
      <c r="CC113" s="99"/>
      <c r="CD113" s="99"/>
      <c r="CE113" s="99"/>
      <c r="CF113" s="99"/>
      <c r="CG113" s="99"/>
      <c r="CH113" s="99"/>
      <c r="CI113" s="99"/>
      <c r="CJ113" s="99"/>
      <c r="CK113" s="99"/>
      <c r="CL113" s="99"/>
      <c r="CM113" s="99"/>
      <c r="CN113" s="99"/>
      <c r="CO113" s="99"/>
      <c r="CP113" s="99"/>
      <c r="CQ113" s="99"/>
      <c r="CR113" s="99"/>
      <c r="CS113" s="99"/>
      <c r="CT113" s="99"/>
      <c r="CU113" s="99"/>
      <c r="CV113" s="99"/>
      <c r="CW113" s="99"/>
      <c r="CX113" s="99"/>
    </row>
    <row r="114" spans="1:102" s="126" customFormat="1" ht="16.5" customHeight="1">
      <c r="A114" s="179">
        <v>2202</v>
      </c>
      <c r="B114" s="305">
        <v>2</v>
      </c>
      <c r="C114" s="180" t="str">
        <f>IF(ISNA(VLOOKUP(B114,Master!CQ$59:CQ$106,3,FALSE)),"",VLOOKUP(B114,Master!BQ$59:DC$106,3,FALSE))</f>
        <v/>
      </c>
      <c r="D114" s="307" t="str">
        <f>IF(ISNA(VLOOKUP(B114,Master!CQ$59:CQ$106,7,FALSE)),"",VLOOKUP(B114,Master!BQ$59:DC$106,7,FALSE))</f>
        <v/>
      </c>
      <c r="E114" s="307" t="str">
        <f>IF(ISNA(VLOOKUP(B114,Master!CQ$59:CQ$106,8,FALSE)),"",VLOOKUP(B114,Master!BQ$59:DC$106,8,FALSE))</f>
        <v/>
      </c>
      <c r="F114" s="308" t="str">
        <f>IF(ISNA(VLOOKUP(B114,Master!CQ$59:CQ$106,4,FALSE)),"",VLOOKUP(B114,Master!BQ$59:DC$106,4,FALSE))</f>
        <v/>
      </c>
      <c r="G114" s="211" t="str">
        <f>IF(ISNA(VLOOKUP(B114,Master!CQ$59:CQ$106,5,FALSE)),"",VLOOKUP(B114,Master!BQ$59:DC$106,5,FALSE))</f>
        <v/>
      </c>
      <c r="H114" s="300" t="str">
        <f>IF(ISNA(VLOOKUP(B114,Master!CQ$59:CQ$106,6,FALSE)),"",VLOOKUP(B114,Master!BQ$59:DC$106,6,FALSE))</f>
        <v/>
      </c>
      <c r="I114" s="179" t="str">
        <f t="shared" ref="I114:I116" si="213">IF(AND(G114=""),"",H114*12)</f>
        <v/>
      </c>
      <c r="J114" s="181" t="str">
        <f t="shared" ref="J114:J116" si="214">IF(AND(G114=""),"","Not Applicable")</f>
        <v/>
      </c>
      <c r="K114" s="179" t="str">
        <f t="shared" ref="K114:K116" si="215">IF(AND(G114=""),"","0")</f>
        <v/>
      </c>
      <c r="L114" s="179" t="str">
        <f t="shared" ref="L114:L116" si="216">IF(AND(G114=""),"",I114+K114)</f>
        <v/>
      </c>
      <c r="M114" s="179" t="str">
        <f t="shared" ref="M114:M116" si="217">IF(AND(G114=""),"",L114)</f>
        <v/>
      </c>
      <c r="N114" s="185" t="str">
        <f t="shared" ref="N114:N116" si="218">IF(AND(G114=""),"","SANVIDA")</f>
        <v/>
      </c>
      <c r="O114" s="264"/>
      <c r="P114" s="264"/>
      <c r="Q114" s="264"/>
      <c r="R114" s="264"/>
      <c r="S114" s="102"/>
      <c r="T114" s="1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30" t="str">
        <f t="shared" si="179"/>
        <v/>
      </c>
      <c r="AF114" s="130" t="str">
        <f t="shared" si="180"/>
        <v/>
      </c>
      <c r="AG114" s="130" t="str">
        <f t="shared" si="181"/>
        <v/>
      </c>
      <c r="AH114" s="130" t="str">
        <f t="shared" si="182"/>
        <v/>
      </c>
      <c r="AI114" s="130" t="str">
        <f t="shared" si="183"/>
        <v/>
      </c>
      <c r="AJ114" s="128" t="str">
        <f t="shared" si="184"/>
        <v/>
      </c>
      <c r="AK114" s="128">
        <v>0</v>
      </c>
      <c r="AL114" s="129">
        <v>0</v>
      </c>
      <c r="AM114" s="128" t="str">
        <f t="shared" si="185"/>
        <v/>
      </c>
      <c r="AN114" s="129">
        <f t="shared" si="186"/>
        <v>0</v>
      </c>
      <c r="AO114" s="128">
        <f t="shared" si="187"/>
        <v>0</v>
      </c>
      <c r="AP114" s="128">
        <f>IF(F114="CLERK GRADE I",1,IF(F114="CLERK GRADE II",1,0))*75*12*BT114*(IF(H114&lt;=0,0,1))*BU114</f>
        <v>0</v>
      </c>
      <c r="AQ114" s="128"/>
      <c r="AR114" s="128">
        <f>(IF(F114="LAB BOY",150,IF(F114="JAMADAR",150,IF(F114="PEON",150,0))))*12*BT114*(IF(H114&lt;=0,0,1))</f>
        <v>0</v>
      </c>
      <c r="AS114" s="130" t="str">
        <f t="shared" si="188"/>
        <v/>
      </c>
      <c r="AT114" s="130" t="str">
        <f t="shared" si="189"/>
        <v/>
      </c>
      <c r="AU114" s="128"/>
      <c r="AV114" s="128"/>
      <c r="AW114" s="130" t="str">
        <f t="shared" si="190"/>
        <v/>
      </c>
      <c r="AX114" s="130" t="str">
        <f t="shared" si="191"/>
        <v/>
      </c>
      <c r="AY114" s="130" t="str">
        <f t="shared" si="192"/>
        <v/>
      </c>
      <c r="AZ114" s="130" t="str">
        <f t="shared" si="193"/>
        <v/>
      </c>
      <c r="BA114" s="130" t="str">
        <f t="shared" si="194"/>
        <v/>
      </c>
      <c r="BB114" s="128" t="str">
        <f t="shared" si="195"/>
        <v/>
      </c>
      <c r="BC114" s="128"/>
      <c r="BD114" s="129">
        <v>11</v>
      </c>
      <c r="BE114" s="128" t="str">
        <f t="shared" si="196"/>
        <v/>
      </c>
      <c r="BF114" s="129">
        <f t="shared" si="197"/>
        <v>0</v>
      </c>
      <c r="BG114" s="128">
        <f t="shared" si="198"/>
        <v>0</v>
      </c>
      <c r="BH114" s="128">
        <f>IF(F114="CLERK GRADE I",1,IF(F114="CLERK GRADE II",1,0))*75*12*BT114*(IF(H114&lt;=0,0,1))*BU114</f>
        <v>0</v>
      </c>
      <c r="BI114" s="128">
        <f>IF(AND(F114=""),0,(IF(F114="ASSISTANT",12,IF(F114="CLERK GRADE I",12,IF(F114="CLERK GRADE II",12,IF(F114="FIELDMAN &amp; FIELD REC",12,IF(F114="LAB BOY",12,IF(F114="JAMADAR",12,IF(F114="PEON",12,10))))))))*(MINA(ROUND(AE114*6%,0),600))*(IF($T114="yes",1,)))</f>
        <v>0</v>
      </c>
      <c r="BJ114" s="128" t="str">
        <f>IF(AND(H114=""),"",(IF(F114="LAB BOY",150,IF(F114="JAMADAR",150,IF(F114="PEON",150,0))))*12*BT114*(IF(H114&lt;=0,0,1)))</f>
        <v/>
      </c>
      <c r="BK114" s="130" t="str">
        <f t="shared" si="199"/>
        <v/>
      </c>
      <c r="BL114" s="130" t="str">
        <f t="shared" si="200"/>
        <v/>
      </c>
      <c r="BM114" s="128"/>
      <c r="BN114" s="128"/>
      <c r="BO114" s="130" t="str">
        <f t="shared" si="201"/>
        <v/>
      </c>
      <c r="BP114" s="124">
        <f>(IF(F114="PRINCIPAL",1,IF(F114="H M",1,IF(F114="AGRICULTURE INST",1,IF(F114="TEACHER-1ST",1,IF(F114="PTI  I  (13)",1,IF(F114="AGRICULTURE TEACH",1,IF(F114="INSTRUCTOR",1,0))))))))+(IF(F114="JR TEACHER",1,IF(F114="LIBRARIAN I",1,0)))*(IF(N114="FIX PAY",0,1))</f>
        <v>0</v>
      </c>
      <c r="BQ114" s="124">
        <f t="shared" si="202"/>
        <v>1</v>
      </c>
      <c r="BR114" s="124">
        <f>(IF(F114="PRINCIPAL (16)",1,IF(F114="V P (14)",1,IF(F114="H M (14)",1,IF(F114="AGRICULTURE INST (13)",1,IF(F114="TEACHER-1ST (13)",1,IF(F114="PTI  I  (13)",1,IF(F114="AGRICULTURE TEACH (13)",1,IF(F114="INSTRUCTOR (13)",1,0))))))))+(IF(F114="JR TEACHER (13)",1,IF(F114="LIBRARIAN I (13)",1,0))))*(IF(N114="FIX PAY",1,0))</f>
        <v>0</v>
      </c>
      <c r="BS114" s="124">
        <f t="shared" si="203"/>
        <v>0</v>
      </c>
      <c r="BT114" s="124">
        <f t="shared" si="120"/>
        <v>0</v>
      </c>
      <c r="BU114" s="124">
        <f t="shared" si="204"/>
        <v>1</v>
      </c>
      <c r="BV114" s="110">
        <f>IF((ROUND((SUMPRODUCT(MID(0&amp;D114,LARGE(INDEX(ISNUMBER(--MID(D114,ROW($1:$25),1))* ROW($1:$25),0),ROW($1:$25))+1,1)*10^ROW($1:$25)/10)),-8)/100000000)&gt;=2004,1,0)</f>
        <v>0</v>
      </c>
      <c r="BW114" s="131">
        <f t="shared" si="205"/>
        <v>1</v>
      </c>
      <c r="BX114" s="110">
        <f t="shared" si="124"/>
        <v>0</v>
      </c>
      <c r="BY114" s="110">
        <f t="shared" si="125"/>
        <v>0</v>
      </c>
      <c r="BZ114" s="99" t="str">
        <f>IF(AND(D114=""),"",IF(AND(D114&lt;=0),"",IF((ROUND((SUMPRODUCT(MID(0&amp;D114,LARGE(INDEX(ISNUMBER(--MID(D114,ROW($1:$70),1))* ROW($1:$70),0),ROW($1:$70))+1,1)*10^ROW($1:$70)/10)),-8)/100000000)&lt;2004,1,0)))</f>
        <v/>
      </c>
      <c r="CB114" s="99"/>
      <c r="CC114" s="99"/>
      <c r="CD114" s="99"/>
      <c r="CE114" s="99"/>
      <c r="CF114" s="99"/>
      <c r="CG114" s="99"/>
      <c r="CH114" s="99"/>
      <c r="CI114" s="99"/>
      <c r="CJ114" s="99"/>
      <c r="CK114" s="99"/>
      <c r="CL114" s="99"/>
      <c r="CM114" s="99"/>
      <c r="CN114" s="99"/>
      <c r="CO114" s="99"/>
      <c r="CP114" s="99"/>
      <c r="CQ114" s="99"/>
      <c r="CR114" s="99"/>
      <c r="CS114" s="99"/>
      <c r="CT114" s="99"/>
      <c r="CU114" s="99"/>
      <c r="CV114" s="99"/>
      <c r="CW114" s="99"/>
      <c r="CX114" s="99"/>
    </row>
    <row r="115" spans="1:102" s="126" customFormat="1" ht="16.5" customHeight="1">
      <c r="A115" s="179">
        <v>2202</v>
      </c>
      <c r="B115" s="305">
        <v>3</v>
      </c>
      <c r="C115" s="180" t="str">
        <f>IF(ISNA(VLOOKUP(B115,Master!CQ$59:CQ$106,3,FALSE)),"",VLOOKUP(B115,Master!BQ$59:DC$106,3,FALSE))</f>
        <v/>
      </c>
      <c r="D115" s="307" t="str">
        <f>IF(ISNA(VLOOKUP(B115,Master!CQ$59:CQ$106,7,FALSE)),"",VLOOKUP(B115,Master!BQ$59:DC$106,7,FALSE))</f>
        <v/>
      </c>
      <c r="E115" s="307" t="str">
        <f>IF(ISNA(VLOOKUP(B115,Master!CQ$59:CQ$106,8,FALSE)),"",VLOOKUP(B115,Master!BQ$59:DC$106,8,FALSE))</f>
        <v/>
      </c>
      <c r="F115" s="308" t="str">
        <f>IF(ISNA(VLOOKUP(B115,Master!CQ$59:CQ$106,4,FALSE)),"",VLOOKUP(B115,Master!BQ$59:DC$106,4,FALSE))</f>
        <v/>
      </c>
      <c r="G115" s="211" t="str">
        <f>IF(ISNA(VLOOKUP(B115,Master!CQ$59:CQ$106,5,FALSE)),"",VLOOKUP(B115,Master!BQ$59:DC$106,5,FALSE))</f>
        <v/>
      </c>
      <c r="H115" s="300" t="str">
        <f>IF(ISNA(VLOOKUP(B115,Master!CQ$59:CQ$106,6,FALSE)),"",VLOOKUP(B115,Master!BQ$59:DC$106,6,FALSE))</f>
        <v/>
      </c>
      <c r="I115" s="179" t="str">
        <f t="shared" si="213"/>
        <v/>
      </c>
      <c r="J115" s="181" t="str">
        <f t="shared" si="214"/>
        <v/>
      </c>
      <c r="K115" s="179" t="str">
        <f t="shared" si="215"/>
        <v/>
      </c>
      <c r="L115" s="179" t="str">
        <f t="shared" si="216"/>
        <v/>
      </c>
      <c r="M115" s="179" t="str">
        <f t="shared" si="217"/>
        <v/>
      </c>
      <c r="N115" s="185" t="str">
        <f t="shared" si="218"/>
        <v/>
      </c>
      <c r="O115" s="264"/>
      <c r="P115" s="264"/>
      <c r="Q115" s="264"/>
      <c r="R115" s="264"/>
      <c r="S115" s="102"/>
      <c r="T115" s="1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30" t="str">
        <f t="shared" si="179"/>
        <v/>
      </c>
      <c r="AF115" s="130" t="str">
        <f t="shared" si="180"/>
        <v/>
      </c>
      <c r="AG115" s="130" t="str">
        <f t="shared" si="181"/>
        <v/>
      </c>
      <c r="AH115" s="130" t="str">
        <f t="shared" si="182"/>
        <v/>
      </c>
      <c r="AI115" s="130" t="str">
        <f t="shared" si="183"/>
        <v/>
      </c>
      <c r="AJ115" s="128" t="str">
        <f t="shared" si="184"/>
        <v/>
      </c>
      <c r="AK115" s="128">
        <v>0</v>
      </c>
      <c r="AL115" s="129">
        <v>0</v>
      </c>
      <c r="AM115" s="128" t="str">
        <f t="shared" si="185"/>
        <v/>
      </c>
      <c r="AN115" s="129">
        <f t="shared" si="186"/>
        <v>0</v>
      </c>
      <c r="AO115" s="128">
        <f t="shared" si="187"/>
        <v>0</v>
      </c>
      <c r="AP115" s="128">
        <f>IF(F115="CLERK GRADE I",1,IF(F115="CLERK GRADE II",1,0))*75*12*BT115*(IF(H115&lt;=0,0,1))*BU115</f>
        <v>0</v>
      </c>
      <c r="AQ115" s="128"/>
      <c r="AR115" s="128">
        <f>(IF(F115="LAB BOY",150,IF(F115="JAMADAR",150,IF(F115="PEON",150,0))))*12*BT115*(IF(H115&lt;=0,0,1))</f>
        <v>0</v>
      </c>
      <c r="AS115" s="130" t="str">
        <f t="shared" si="188"/>
        <v/>
      </c>
      <c r="AT115" s="130" t="str">
        <f t="shared" si="189"/>
        <v/>
      </c>
      <c r="AU115" s="128"/>
      <c r="AV115" s="128"/>
      <c r="AW115" s="130" t="str">
        <f t="shared" si="190"/>
        <v/>
      </c>
      <c r="AX115" s="130" t="str">
        <f t="shared" si="191"/>
        <v/>
      </c>
      <c r="AY115" s="130" t="str">
        <f t="shared" si="192"/>
        <v/>
      </c>
      <c r="AZ115" s="130" t="str">
        <f t="shared" si="193"/>
        <v/>
      </c>
      <c r="BA115" s="130" t="str">
        <f t="shared" si="194"/>
        <v/>
      </c>
      <c r="BB115" s="128" t="str">
        <f t="shared" si="195"/>
        <v/>
      </c>
      <c r="BC115" s="128"/>
      <c r="BD115" s="129">
        <v>12</v>
      </c>
      <c r="BE115" s="128" t="str">
        <f t="shared" si="196"/>
        <v/>
      </c>
      <c r="BF115" s="129">
        <f t="shared" si="197"/>
        <v>0</v>
      </c>
      <c r="BG115" s="128">
        <f t="shared" si="198"/>
        <v>0</v>
      </c>
      <c r="BH115" s="128">
        <f>IF(F115="CLERK GRADE I",1,IF(F115="CLERK GRADE II",1,0))*75*12*BT115*(IF(H115&lt;=0,0,1))*BU115</f>
        <v>0</v>
      </c>
      <c r="BI115" s="128">
        <f>IF(AND(F115=""),0,(IF(F115="ASSISTANT",12,IF(F115="CLERK GRADE I",12,IF(F115="CLERK GRADE II",12,IF(F115="FIELDMAN &amp; FIELD REC",12,IF(F115="LAB BOY",12,IF(F115="JAMADAR",12,IF(F115="PEON",12,10))))))))*(MINA(ROUND(AE115*6%,0),600))*(IF($T115="yes",1,)))</f>
        <v>0</v>
      </c>
      <c r="BJ115" s="128" t="str">
        <f>IF(AND(H115=""),"",(IF(F115="LAB BOY",150,IF(F115="JAMADAR",150,IF(F115="PEON",150,0))))*12*BT115*(IF(H115&lt;=0,0,1)))</f>
        <v/>
      </c>
      <c r="BK115" s="130" t="str">
        <f t="shared" si="199"/>
        <v/>
      </c>
      <c r="BL115" s="130" t="str">
        <f t="shared" si="200"/>
        <v/>
      </c>
      <c r="BM115" s="128"/>
      <c r="BN115" s="128"/>
      <c r="BO115" s="130" t="str">
        <f t="shared" si="201"/>
        <v/>
      </c>
      <c r="BP115" s="124">
        <f>(IF(F115="PRINCIPAL",1,IF(F115="H M",1,IF(F115="AGRICULTURE INST",1,IF(F115="TEACHER-1ST",1,IF(F115="PTI  I  (13)",1,IF(F115="AGRICULTURE TEACH",1,IF(F115="INSTRUCTOR",1,0))))))))+(IF(F115="JR TEACHER",1,IF(F115="LIBRARIAN I",1,0)))*(IF(N115="FIX PAY",0,1))</f>
        <v>0</v>
      </c>
      <c r="BQ115" s="124">
        <f t="shared" si="202"/>
        <v>1</v>
      </c>
      <c r="BR115" s="124">
        <f>(IF(F115="PRINCIPAL (16)",1,IF(F115="V P (14)",1,IF(F115="H M (14)",1,IF(F115="AGRICULTURE INST (13)",1,IF(F115="TEACHER-1ST (13)",1,IF(F115="PTI  I  (13)",1,IF(F115="AGRICULTURE TEACH (13)",1,IF(F115="INSTRUCTOR (13)",1,0))))))))+(IF(F115="JR TEACHER (13)",1,IF(F115="LIBRARIAN I (13)",1,0))))*(IF(N115="FIX PAY",1,0))</f>
        <v>0</v>
      </c>
      <c r="BS115" s="124">
        <f t="shared" si="203"/>
        <v>0</v>
      </c>
      <c r="BT115" s="124">
        <f t="shared" si="120"/>
        <v>0</v>
      </c>
      <c r="BU115" s="124">
        <f t="shared" si="204"/>
        <v>1</v>
      </c>
      <c r="BV115" s="110">
        <f>IF((ROUND((SUMPRODUCT(MID(0&amp;D115,LARGE(INDEX(ISNUMBER(--MID(D115,ROW($1:$25),1))* ROW($1:$25),0),ROW($1:$25))+1,1)*10^ROW($1:$25)/10)),-8)/100000000)&gt;=2004,1,0)</f>
        <v>0</v>
      </c>
      <c r="BW115" s="131">
        <f t="shared" si="205"/>
        <v>1</v>
      </c>
      <c r="BX115" s="110">
        <f t="shared" si="124"/>
        <v>0</v>
      </c>
      <c r="BY115" s="110">
        <f t="shared" si="125"/>
        <v>0</v>
      </c>
      <c r="BZ115" s="99" t="str">
        <f>IF(AND(D115=""),"",IF(AND(D115&lt;=0),"",IF((ROUND((SUMPRODUCT(MID(0&amp;D115,LARGE(INDEX(ISNUMBER(--MID(D115,ROW($1:$70),1))* ROW($1:$70),0),ROW($1:$70))+1,1)*10^ROW($1:$70)/10)),-8)/100000000)&lt;2004,1,0)))</f>
        <v/>
      </c>
      <c r="CB115" s="99"/>
      <c r="CC115" s="99"/>
      <c r="CD115" s="99"/>
      <c r="CE115" s="99"/>
      <c r="CF115" s="99"/>
      <c r="CG115" s="99"/>
      <c r="CH115" s="99"/>
      <c r="CI115" s="99"/>
      <c r="CJ115" s="99"/>
      <c r="CK115" s="99"/>
      <c r="CL115" s="99"/>
      <c r="CM115" s="99"/>
      <c r="CN115" s="99"/>
      <c r="CO115" s="99"/>
      <c r="CP115" s="99"/>
      <c r="CQ115" s="99"/>
      <c r="CR115" s="99"/>
      <c r="CS115" s="99"/>
      <c r="CT115" s="99"/>
      <c r="CU115" s="99"/>
      <c r="CV115" s="99"/>
      <c r="CW115" s="99"/>
      <c r="CX115" s="99"/>
    </row>
    <row r="116" spans="1:102" s="126" customFormat="1" ht="16.5" customHeight="1">
      <c r="A116" s="179">
        <v>2202</v>
      </c>
      <c r="B116" s="305">
        <v>4</v>
      </c>
      <c r="C116" s="180" t="str">
        <f>IF(ISNA(VLOOKUP(B116,Master!CQ$59:CQ$106,3,FALSE)),"",VLOOKUP(B116,Master!BQ$59:DC$106,3,FALSE))</f>
        <v/>
      </c>
      <c r="D116" s="307" t="str">
        <f>IF(ISNA(VLOOKUP(B116,Master!CQ$59:CQ$106,7,FALSE)),"",VLOOKUP(B116,Master!BQ$59:DC$106,7,FALSE))</f>
        <v/>
      </c>
      <c r="E116" s="307" t="str">
        <f>IF(ISNA(VLOOKUP(B116,Master!CQ$59:CQ$106,8,FALSE)),"",VLOOKUP(B116,Master!BQ$59:DC$106,8,FALSE))</f>
        <v/>
      </c>
      <c r="F116" s="308" t="str">
        <f>IF(ISNA(VLOOKUP(B116,Master!CQ$59:CQ$106,4,FALSE)),"",VLOOKUP(B116,Master!BQ$59:DC$106,4,FALSE))</f>
        <v/>
      </c>
      <c r="G116" s="211" t="str">
        <f>IF(ISNA(VLOOKUP(B116,Master!CQ$59:CQ$106,5,FALSE)),"",VLOOKUP(B116,Master!BQ$59:DC$106,5,FALSE))</f>
        <v/>
      </c>
      <c r="H116" s="300" t="str">
        <f>IF(ISNA(VLOOKUP(B116,Master!CQ$59:CQ$106,6,FALSE)),"",VLOOKUP(B116,Master!BQ$59:DC$106,6,FALSE))</f>
        <v/>
      </c>
      <c r="I116" s="179" t="str">
        <f t="shared" si="213"/>
        <v/>
      </c>
      <c r="J116" s="181" t="str">
        <f t="shared" si="214"/>
        <v/>
      </c>
      <c r="K116" s="179" t="str">
        <f t="shared" si="215"/>
        <v/>
      </c>
      <c r="L116" s="179" t="str">
        <f t="shared" si="216"/>
        <v/>
      </c>
      <c r="M116" s="179" t="str">
        <f t="shared" si="217"/>
        <v/>
      </c>
      <c r="N116" s="185" t="str">
        <f t="shared" si="218"/>
        <v/>
      </c>
      <c r="O116" s="264"/>
      <c r="P116" s="264"/>
      <c r="Q116" s="264"/>
      <c r="R116" s="264"/>
      <c r="S116" s="102"/>
      <c r="T116" s="1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30" t="str">
        <f t="shared" si="179"/>
        <v/>
      </c>
      <c r="AF116" s="130" t="str">
        <f t="shared" si="180"/>
        <v/>
      </c>
      <c r="AG116" s="130" t="str">
        <f t="shared" si="181"/>
        <v/>
      </c>
      <c r="AH116" s="130" t="str">
        <f t="shared" si="182"/>
        <v/>
      </c>
      <c r="AI116" s="130" t="str">
        <f t="shared" si="183"/>
        <v/>
      </c>
      <c r="AJ116" s="128" t="str">
        <f t="shared" si="184"/>
        <v/>
      </c>
      <c r="AK116" s="128">
        <v>0</v>
      </c>
      <c r="AL116" s="129">
        <v>0</v>
      </c>
      <c r="AM116" s="128" t="str">
        <f t="shared" si="185"/>
        <v/>
      </c>
      <c r="AN116" s="129">
        <f t="shared" si="186"/>
        <v>0</v>
      </c>
      <c r="AO116" s="128">
        <f t="shared" si="187"/>
        <v>0</v>
      </c>
      <c r="AP116" s="128">
        <f>IF(F116="CLERK GRADE I",1,IF(F116="CLERK GRADE II",1,0))*75*12*BT116*(IF(H116&lt;=0,0,1))*BU116</f>
        <v>0</v>
      </c>
      <c r="AQ116" s="128"/>
      <c r="AR116" s="128">
        <f>(IF(F116="LAB BOY",150,IF(F116="JAMADAR",150,IF(F116="PEON",150,0))))*12*BT116*(IF(H116&lt;=0,0,1))</f>
        <v>0</v>
      </c>
      <c r="AS116" s="130" t="str">
        <f t="shared" si="188"/>
        <v/>
      </c>
      <c r="AT116" s="130" t="str">
        <f t="shared" si="189"/>
        <v/>
      </c>
      <c r="AU116" s="128"/>
      <c r="AV116" s="128"/>
      <c r="AW116" s="130" t="str">
        <f t="shared" si="190"/>
        <v/>
      </c>
      <c r="AX116" s="130" t="str">
        <f t="shared" si="191"/>
        <v/>
      </c>
      <c r="AY116" s="130" t="str">
        <f t="shared" si="192"/>
        <v/>
      </c>
      <c r="AZ116" s="130" t="str">
        <f t="shared" si="193"/>
        <v/>
      </c>
      <c r="BA116" s="130" t="str">
        <f t="shared" si="194"/>
        <v/>
      </c>
      <c r="BB116" s="128" t="str">
        <f t="shared" si="195"/>
        <v/>
      </c>
      <c r="BC116" s="128"/>
      <c r="BD116" s="129">
        <v>13</v>
      </c>
      <c r="BE116" s="128" t="str">
        <f t="shared" si="196"/>
        <v/>
      </c>
      <c r="BF116" s="129">
        <f t="shared" si="197"/>
        <v>0</v>
      </c>
      <c r="BG116" s="128">
        <f t="shared" si="198"/>
        <v>0</v>
      </c>
      <c r="BH116" s="128">
        <f>IF(F116="CLERK GRADE I",1,IF(F116="CLERK GRADE II",1,0))*75*12*BT116*(IF(H116&lt;=0,0,1))*BU116</f>
        <v>0</v>
      </c>
      <c r="BI116" s="128">
        <f>IF(AND(F116=""),0,(IF(F116="ASSISTANT",12,IF(F116="CLERK GRADE I",12,IF(F116="CLERK GRADE II",12,IF(F116="FIELDMAN &amp; FIELD REC",12,IF(F116="LAB BOY",12,IF(F116="JAMADAR",12,IF(F116="PEON",12,10))))))))*(MINA(ROUND(AE116*6%,0),600))*(IF($T116="yes",1,)))</f>
        <v>0</v>
      </c>
      <c r="BJ116" s="128" t="str">
        <f>IF(AND(H116=""),"",(IF(F116="LAB BOY",150,IF(F116="JAMADAR",150,IF(F116="PEON",150,0))))*12*BT116*(IF(H116&lt;=0,0,1)))</f>
        <v/>
      </c>
      <c r="BK116" s="130" t="str">
        <f t="shared" si="199"/>
        <v/>
      </c>
      <c r="BL116" s="130" t="str">
        <f t="shared" si="200"/>
        <v/>
      </c>
      <c r="BM116" s="128"/>
      <c r="BN116" s="128"/>
      <c r="BO116" s="130" t="str">
        <f t="shared" si="201"/>
        <v/>
      </c>
      <c r="BP116" s="124">
        <f>(IF(F116="PRINCIPAL",1,IF(F116="H M",1,IF(F116="AGRICULTURE INST",1,IF(F116="TEACHER-1ST",1,IF(F116="PTI  I  (13)",1,IF(F116="AGRICULTURE TEACH",1,IF(F116="INSTRUCTOR",1,0))))))))+(IF(F116="JR TEACHER",1,IF(F116="LIBRARIAN I",1,0)))*(IF(N116="FIX PAY",0,1))</f>
        <v>0</v>
      </c>
      <c r="BQ116" s="124">
        <f t="shared" si="202"/>
        <v>1</v>
      </c>
      <c r="BR116" s="124">
        <f>(IF(F116="PRINCIPAL (16)",1,IF(F116="V P (14)",1,IF(F116="H M (14)",1,IF(F116="AGRICULTURE INST (13)",1,IF(F116="TEACHER-1ST (13)",1,IF(F116="PTI  I  (13)",1,IF(F116="AGRICULTURE TEACH (13)",1,IF(F116="INSTRUCTOR (13)",1,0))))))))+(IF(F116="JR TEACHER (13)",1,IF(F116="LIBRARIAN I (13)",1,0))))*(IF(N116="FIX PAY",1,0))</f>
        <v>0</v>
      </c>
      <c r="BS116" s="124">
        <f t="shared" si="203"/>
        <v>0</v>
      </c>
      <c r="BT116" s="124">
        <f t="shared" si="120"/>
        <v>0</v>
      </c>
      <c r="BU116" s="124">
        <f t="shared" si="204"/>
        <v>1</v>
      </c>
      <c r="BV116" s="110">
        <f>IF((ROUND((SUMPRODUCT(MID(0&amp;D116,LARGE(INDEX(ISNUMBER(--MID(D116,ROW($1:$25),1))* ROW($1:$25),0),ROW($1:$25))+1,1)*10^ROW($1:$25)/10)),-8)/100000000)&gt;=2004,1,0)</f>
        <v>0</v>
      </c>
      <c r="BW116" s="131">
        <f t="shared" si="205"/>
        <v>1</v>
      </c>
      <c r="BX116" s="110">
        <f t="shared" si="124"/>
        <v>0</v>
      </c>
      <c r="BY116" s="110">
        <f t="shared" si="125"/>
        <v>0</v>
      </c>
      <c r="BZ116" s="99" t="str">
        <f>IF(AND(D116=""),"",IF(AND(D116&lt;=0),"",IF((ROUND((SUMPRODUCT(MID(0&amp;D116,LARGE(INDEX(ISNUMBER(--MID(D116,ROW($1:$70),1))* ROW($1:$70),0),ROW($1:$70))+1,1)*10^ROW($1:$70)/10)),-8)/100000000)&lt;2004,1,0)))</f>
        <v/>
      </c>
      <c r="CB116" s="99"/>
      <c r="CC116" s="99"/>
      <c r="CD116" s="99"/>
      <c r="CE116" s="99"/>
      <c r="CF116" s="99"/>
      <c r="CG116" s="99"/>
      <c r="CH116" s="99"/>
      <c r="CI116" s="99"/>
      <c r="CJ116" s="99"/>
      <c r="CK116" s="99"/>
      <c r="CL116" s="99"/>
      <c r="CM116" s="99"/>
      <c r="CN116" s="99"/>
      <c r="CO116" s="99"/>
      <c r="CP116" s="99"/>
      <c r="CQ116" s="99"/>
      <c r="CR116" s="99"/>
      <c r="CS116" s="99"/>
      <c r="CT116" s="99"/>
      <c r="CU116" s="99"/>
      <c r="CV116" s="99"/>
      <c r="CW116" s="99"/>
      <c r="CX116" s="99"/>
    </row>
    <row r="117" spans="1:102" s="126" customFormat="1">
      <c r="A117" s="213"/>
      <c r="B117" s="299"/>
      <c r="C117" s="299"/>
      <c r="D117" s="299"/>
      <c r="E117" s="299"/>
      <c r="F117" s="187" t="s">
        <v>413</v>
      </c>
      <c r="G117" s="188"/>
      <c r="H117" s="189"/>
      <c r="I117" s="189">
        <f>SUM(I113:I116)</f>
        <v>0</v>
      </c>
      <c r="J117" s="189"/>
      <c r="K117" s="189">
        <f t="shared" ref="K117:M117" si="219">SUM(K113:K116)</f>
        <v>0</v>
      </c>
      <c r="L117" s="189">
        <f t="shared" si="219"/>
        <v>0</v>
      </c>
      <c r="M117" s="189">
        <f t="shared" si="219"/>
        <v>0</v>
      </c>
      <c r="N117" s="194"/>
      <c r="O117" s="264"/>
      <c r="P117" s="264"/>
      <c r="Q117" s="264"/>
      <c r="R117" s="264"/>
      <c r="S117" s="102"/>
      <c r="T117" s="1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8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10"/>
      <c r="BY117" s="110"/>
      <c r="CB117" s="99"/>
      <c r="CC117" s="99"/>
      <c r="CD117" s="99"/>
      <c r="CE117" s="99"/>
      <c r="CF117" s="99"/>
      <c r="CG117" s="99"/>
      <c r="CH117" s="99"/>
      <c r="CI117" s="99"/>
      <c r="CJ117" s="99"/>
      <c r="CK117" s="99"/>
      <c r="CL117" s="99"/>
      <c r="CM117" s="99"/>
      <c r="CN117" s="99"/>
      <c r="CO117" s="99"/>
      <c r="CP117" s="99"/>
      <c r="CQ117" s="99"/>
      <c r="CR117" s="99"/>
      <c r="CS117" s="99"/>
      <c r="CT117" s="99"/>
      <c r="CU117" s="99"/>
      <c r="CV117" s="99"/>
      <c r="CW117" s="99"/>
      <c r="CX117" s="99"/>
    </row>
    <row r="118" spans="1:102" s="126" customFormat="1">
      <c r="A118" s="213"/>
      <c r="B118" s="299"/>
      <c r="C118" s="299"/>
      <c r="D118" s="299"/>
      <c r="E118" s="299"/>
      <c r="F118" s="187" t="s">
        <v>414</v>
      </c>
      <c r="G118" s="188"/>
      <c r="H118" s="189"/>
      <c r="I118" s="270">
        <f>I111+I117</f>
        <v>0</v>
      </c>
      <c r="J118" s="270"/>
      <c r="K118" s="270">
        <f t="shared" ref="K118:M118" si="220">K111+K117</f>
        <v>0</v>
      </c>
      <c r="L118" s="270">
        <f t="shared" si="220"/>
        <v>0</v>
      </c>
      <c r="M118" s="270">
        <f t="shared" si="220"/>
        <v>0</v>
      </c>
      <c r="N118" s="194"/>
      <c r="O118" s="264"/>
      <c r="P118" s="264"/>
      <c r="Q118" s="264"/>
      <c r="R118" s="264"/>
      <c r="S118" s="102"/>
      <c r="T118" s="1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8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10"/>
      <c r="BY118" s="110"/>
      <c r="CB118" s="99"/>
      <c r="CC118" s="99"/>
      <c r="CD118" s="99"/>
      <c r="CE118" s="99"/>
      <c r="CF118" s="99"/>
      <c r="CG118" s="99"/>
      <c r="CH118" s="99"/>
      <c r="CI118" s="99"/>
      <c r="CJ118" s="99"/>
      <c r="CK118" s="99"/>
      <c r="CL118" s="99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</row>
    <row r="119" spans="1:102" s="126" customFormat="1" ht="15.75">
      <c r="A119" s="214"/>
      <c r="B119" s="199"/>
      <c r="C119" s="199"/>
      <c r="D119" s="199"/>
      <c r="E119" s="215"/>
      <c r="F119" s="216" t="s">
        <v>415</v>
      </c>
      <c r="G119" s="179"/>
      <c r="H119" s="185"/>
      <c r="I119" s="272">
        <f>I83+I105+I118</f>
        <v>8238840</v>
      </c>
      <c r="J119" s="272"/>
      <c r="K119" s="272">
        <f t="shared" ref="K119:M119" si="221">K83+K105+K118</f>
        <v>158400</v>
      </c>
      <c r="L119" s="272">
        <f t="shared" si="221"/>
        <v>10671428</v>
      </c>
      <c r="M119" s="272">
        <f t="shared" si="221"/>
        <v>10372476</v>
      </c>
      <c r="N119" s="203"/>
      <c r="O119" s="266"/>
      <c r="P119" s="266"/>
      <c r="Q119" s="266"/>
      <c r="R119" s="266">
        <v>0</v>
      </c>
      <c r="S119" s="102"/>
      <c r="T119" s="1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10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8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  <c r="AZ119" s="125"/>
      <c r="BA119" s="125"/>
      <c r="BB119" s="125"/>
      <c r="BC119" s="125"/>
      <c r="BD119" s="125"/>
      <c r="BE119" s="125"/>
      <c r="BF119" s="125"/>
      <c r="BG119" s="125"/>
      <c r="BH119" s="125"/>
      <c r="BI119" s="125"/>
      <c r="BJ119" s="125"/>
      <c r="BK119" s="125"/>
      <c r="BL119" s="125"/>
      <c r="BM119" s="125"/>
      <c r="BN119" s="125"/>
      <c r="BO119" s="125"/>
      <c r="BP119" s="125"/>
      <c r="BQ119" s="125"/>
      <c r="BR119" s="125"/>
      <c r="BS119" s="125"/>
      <c r="BT119" s="125"/>
      <c r="BU119" s="125"/>
      <c r="BV119" s="110"/>
      <c r="BW119" s="110"/>
      <c r="BX119" s="110"/>
      <c r="BY119" s="110"/>
      <c r="BZ119" s="99"/>
      <c r="CA119" s="99"/>
      <c r="CB119" s="99"/>
      <c r="CC119" s="99"/>
      <c r="CD119" s="99"/>
      <c r="CE119" s="99"/>
      <c r="CF119" s="99"/>
      <c r="CG119" s="99"/>
      <c r="CH119" s="99"/>
      <c r="CI119" s="99"/>
      <c r="CJ119" s="99"/>
      <c r="CK119" s="99"/>
      <c r="CL119" s="99"/>
      <c r="CM119" s="99"/>
      <c r="CN119" s="99"/>
      <c r="CO119" s="99"/>
      <c r="CP119" s="99"/>
      <c r="CQ119" s="99"/>
      <c r="CR119" s="99"/>
      <c r="CS119" s="99"/>
      <c r="CT119" s="99"/>
      <c r="CU119" s="99"/>
      <c r="CV119" s="99"/>
      <c r="CW119" s="99"/>
      <c r="CX119" s="99"/>
    </row>
    <row r="120" spans="1:102" s="126" customFormat="1">
      <c r="A120" s="214"/>
      <c r="B120" s="199"/>
      <c r="C120" s="199"/>
      <c r="D120" s="199"/>
      <c r="E120" s="215"/>
      <c r="F120" s="216" t="s">
        <v>234</v>
      </c>
      <c r="G120" s="179"/>
      <c r="H120" s="185"/>
      <c r="I120" s="185"/>
      <c r="J120" s="181"/>
      <c r="K120" s="185"/>
      <c r="L120" s="185">
        <f>'Formet 9'!G12</f>
        <v>0</v>
      </c>
      <c r="M120" s="185">
        <f>'Pending TA-Med List'!I30</f>
        <v>13000</v>
      </c>
      <c r="N120" s="203"/>
      <c r="O120" s="266"/>
      <c r="P120" s="266"/>
      <c r="Q120" s="266"/>
      <c r="R120" s="266">
        <v>0</v>
      </c>
      <c r="S120" s="102"/>
      <c r="T120" s="1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10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8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5"/>
      <c r="BQ120" s="125"/>
      <c r="BR120" s="125"/>
      <c r="BS120" s="125"/>
      <c r="BT120" s="125"/>
      <c r="BU120" s="125"/>
      <c r="BV120" s="110"/>
      <c r="BW120" s="110"/>
      <c r="BX120" s="110"/>
      <c r="BY120" s="110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</row>
    <row r="121" spans="1:102" s="126" customFormat="1">
      <c r="A121" s="214"/>
      <c r="B121" s="199"/>
      <c r="C121" s="199"/>
      <c r="D121" s="199"/>
      <c r="E121" s="215"/>
      <c r="F121" s="216" t="s">
        <v>235</v>
      </c>
      <c r="G121" s="179"/>
      <c r="H121" s="185"/>
      <c r="I121" s="185"/>
      <c r="J121" s="181"/>
      <c r="K121" s="185"/>
      <c r="L121" s="185">
        <f>'Formet 9'!G13</f>
        <v>0</v>
      </c>
      <c r="M121" s="185">
        <f>'Pending TA-Med List'!R30</f>
        <v>12000</v>
      </c>
      <c r="N121" s="203"/>
      <c r="O121" s="266"/>
      <c r="P121" s="266"/>
      <c r="Q121" s="266"/>
      <c r="R121" s="266">
        <v>0</v>
      </c>
      <c r="S121" s="102"/>
      <c r="T121" s="1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10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8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5"/>
      <c r="BQ121" s="125"/>
      <c r="BR121" s="125"/>
      <c r="BS121" s="125"/>
      <c r="BT121" s="125"/>
      <c r="BU121" s="125"/>
      <c r="BV121" s="110"/>
      <c r="BW121" s="110"/>
      <c r="BX121" s="110"/>
      <c r="BY121" s="110"/>
      <c r="BZ121" s="99"/>
      <c r="CA121" s="99"/>
      <c r="CB121" s="99"/>
      <c r="CC121" s="99"/>
      <c r="CD121" s="99"/>
      <c r="CE121" s="99"/>
      <c r="CF121" s="99"/>
      <c r="CG121" s="99"/>
      <c r="CH121" s="99"/>
      <c r="CI121" s="99"/>
      <c r="CJ121" s="99"/>
      <c r="CK121" s="99"/>
      <c r="CL121" s="99"/>
      <c r="CM121" s="99"/>
      <c r="CN121" s="99"/>
      <c r="CO121" s="99"/>
      <c r="CP121" s="99"/>
      <c r="CQ121" s="99"/>
      <c r="CR121" s="99"/>
      <c r="CS121" s="99"/>
      <c r="CT121" s="99"/>
      <c r="CU121" s="99"/>
      <c r="CV121" s="99"/>
      <c r="CW121" s="99"/>
      <c r="CX121" s="99"/>
    </row>
    <row r="122" spans="1:102" s="126" customFormat="1" ht="15.75">
      <c r="A122" s="213"/>
      <c r="B122" s="191"/>
      <c r="C122" s="191"/>
      <c r="D122" s="191"/>
      <c r="E122" s="191"/>
      <c r="F122" s="187" t="s">
        <v>236</v>
      </c>
      <c r="G122" s="188"/>
      <c r="H122" s="189"/>
      <c r="I122" s="271">
        <f>SUM(I119:I121)</f>
        <v>8238840</v>
      </c>
      <c r="J122" s="271"/>
      <c r="K122" s="271">
        <f>SUM(K119:K121)</f>
        <v>158400</v>
      </c>
      <c r="L122" s="271">
        <f>SUM(L119:L121)</f>
        <v>10671428</v>
      </c>
      <c r="M122" s="271">
        <f>SUM(M119:M121)</f>
        <v>10397476</v>
      </c>
      <c r="N122" s="194"/>
      <c r="O122" s="264"/>
      <c r="P122" s="264"/>
      <c r="Q122" s="264"/>
      <c r="R122" s="264">
        <f>SUM(R12:R121)</f>
        <v>54192</v>
      </c>
      <c r="S122" s="134"/>
      <c r="T122" s="135"/>
      <c r="U122" s="136"/>
      <c r="V122" s="136"/>
      <c r="W122" s="136"/>
      <c r="X122" s="136"/>
      <c r="Y122" s="136">
        <f t="shared" ref="Y122:AD122" si="222">SUM(Y12:Y121)</f>
        <v>0</v>
      </c>
      <c r="Z122" s="136">
        <f t="shared" si="222"/>
        <v>0</v>
      </c>
      <c r="AA122" s="136">
        <f t="shared" si="222"/>
        <v>0</v>
      </c>
      <c r="AB122" s="136">
        <f t="shared" si="222"/>
        <v>0</v>
      </c>
      <c r="AC122" s="136">
        <f t="shared" si="222"/>
        <v>1</v>
      </c>
      <c r="AD122" s="136">
        <f t="shared" si="222"/>
        <v>0</v>
      </c>
      <c r="AE122" s="128">
        <f t="shared" ref="AE122:AM122" si="223">SUM(AE12:AE103)</f>
        <v>638700</v>
      </c>
      <c r="AF122" s="128">
        <f t="shared" si="223"/>
        <v>1139600</v>
      </c>
      <c r="AG122" s="128">
        <f t="shared" si="223"/>
        <v>6911200</v>
      </c>
      <c r="AH122" s="128">
        <f t="shared" si="223"/>
        <v>0</v>
      </c>
      <c r="AI122" s="128">
        <f t="shared" si="223"/>
        <v>346440</v>
      </c>
      <c r="AJ122" s="128">
        <f t="shared" si="223"/>
        <v>0</v>
      </c>
      <c r="AK122" s="128">
        <f t="shared" si="223"/>
        <v>0</v>
      </c>
      <c r="AL122" s="128">
        <f t="shared" si="223"/>
        <v>0</v>
      </c>
      <c r="AM122" s="128">
        <f t="shared" si="223"/>
        <v>0</v>
      </c>
      <c r="AN122" s="128" t="e">
        <f>SUM(AN27:AN103)</f>
        <v>#VALUE!</v>
      </c>
      <c r="AO122" s="128">
        <f t="shared" ref="AO122:BE122" si="224">SUM(AO12:AO103)</f>
        <v>368312</v>
      </c>
      <c r="AP122" s="128">
        <f t="shared" si="224"/>
        <v>0</v>
      </c>
      <c r="AQ122" s="128">
        <f t="shared" si="224"/>
        <v>0</v>
      </c>
      <c r="AR122" s="128">
        <f t="shared" si="224"/>
        <v>0</v>
      </c>
      <c r="AS122" s="128">
        <f t="shared" si="224"/>
        <v>8419112</v>
      </c>
      <c r="AT122" s="128">
        <f t="shared" si="224"/>
        <v>8419112</v>
      </c>
      <c r="AU122" s="128">
        <f t="shared" si="224"/>
        <v>0</v>
      </c>
      <c r="AV122" s="128">
        <f t="shared" si="224"/>
        <v>0</v>
      </c>
      <c r="AW122" s="128">
        <f t="shared" si="224"/>
        <v>8419112</v>
      </c>
      <c r="AX122" s="128">
        <f t="shared" si="224"/>
        <v>1106400</v>
      </c>
      <c r="AY122" s="128">
        <f t="shared" si="224"/>
        <v>6710000</v>
      </c>
      <c r="AZ122" s="128">
        <f t="shared" si="224"/>
        <v>0</v>
      </c>
      <c r="BA122" s="128">
        <f t="shared" si="224"/>
        <v>346440</v>
      </c>
      <c r="BB122" s="128">
        <f t="shared" si="224"/>
        <v>0</v>
      </c>
      <c r="BC122" s="128">
        <f t="shared" si="224"/>
        <v>0</v>
      </c>
      <c r="BD122" s="128">
        <f t="shared" si="224"/>
        <v>0</v>
      </c>
      <c r="BE122" s="128">
        <f t="shared" si="224"/>
        <v>0</v>
      </c>
      <c r="BF122" s="128" t="e">
        <f>SUM(BF27:BF103)</f>
        <v>#VALUE!</v>
      </c>
      <c r="BG122" s="128">
        <f t="shared" ref="BG122:BX122" si="225">SUM(BG12:BG103)</f>
        <v>357672</v>
      </c>
      <c r="BH122" s="128">
        <f t="shared" si="225"/>
        <v>0</v>
      </c>
      <c r="BI122" s="128">
        <f t="shared" si="225"/>
        <v>0</v>
      </c>
      <c r="BJ122" s="128">
        <f t="shared" si="225"/>
        <v>0</v>
      </c>
      <c r="BK122" s="128">
        <f t="shared" si="225"/>
        <v>8174072</v>
      </c>
      <c r="BL122" s="128">
        <f t="shared" si="225"/>
        <v>8174072</v>
      </c>
      <c r="BM122" s="128">
        <f t="shared" si="225"/>
        <v>0</v>
      </c>
      <c r="BN122" s="128">
        <f t="shared" si="225"/>
        <v>0</v>
      </c>
      <c r="BO122" s="128">
        <f t="shared" si="225"/>
        <v>8174072</v>
      </c>
      <c r="BP122" s="128">
        <f t="shared" si="225"/>
        <v>1</v>
      </c>
      <c r="BQ122" s="128">
        <f t="shared" si="225"/>
        <v>70</v>
      </c>
      <c r="BR122" s="128">
        <f t="shared" si="225"/>
        <v>0</v>
      </c>
      <c r="BS122" s="128">
        <f t="shared" si="225"/>
        <v>3</v>
      </c>
      <c r="BT122" s="128">
        <f t="shared" si="225"/>
        <v>3</v>
      </c>
      <c r="BU122" s="128">
        <f t="shared" si="225"/>
        <v>62</v>
      </c>
      <c r="BV122" s="128">
        <f t="shared" si="225"/>
        <v>3</v>
      </c>
      <c r="BW122" s="128">
        <f t="shared" si="225"/>
        <v>73</v>
      </c>
      <c r="BX122" s="128">
        <f t="shared" si="225"/>
        <v>0</v>
      </c>
      <c r="BY122" s="128"/>
      <c r="CB122" s="99"/>
      <c r="CC122" s="99"/>
      <c r="CD122" s="99"/>
      <c r="CE122" s="99"/>
      <c r="CF122" s="99"/>
      <c r="CG122" s="99"/>
      <c r="CH122" s="99"/>
      <c r="CI122" s="99"/>
      <c r="CJ122" s="99"/>
      <c r="CK122" s="99"/>
      <c r="CL122" s="99"/>
      <c r="CM122" s="99"/>
      <c r="CN122" s="99"/>
      <c r="CO122" s="99"/>
      <c r="CP122" s="99"/>
      <c r="CQ122" s="99"/>
      <c r="CR122" s="99"/>
      <c r="CS122" s="99"/>
      <c r="CT122" s="99"/>
      <c r="CU122" s="99"/>
      <c r="CV122" s="99"/>
      <c r="CW122" s="99"/>
      <c r="CX122" s="99"/>
    </row>
    <row r="123" spans="1:102">
      <c r="A123" s="96"/>
      <c r="B123" s="97"/>
      <c r="C123" s="97"/>
      <c r="D123" s="97"/>
      <c r="E123" s="97"/>
      <c r="F123" s="97"/>
      <c r="G123" s="97"/>
      <c r="H123" s="97"/>
      <c r="I123" s="97"/>
      <c r="J123" s="98"/>
      <c r="K123" s="97"/>
      <c r="L123" s="97"/>
      <c r="M123" s="97"/>
      <c r="N123" s="97"/>
      <c r="O123" s="97"/>
      <c r="P123" s="97"/>
      <c r="Q123" s="97"/>
      <c r="R123" s="97"/>
      <c r="T123" s="2"/>
    </row>
    <row r="124" spans="1:102" ht="18.75">
      <c r="A124" s="96"/>
      <c r="B124" s="97"/>
      <c r="C124" s="137"/>
      <c r="D124" s="137"/>
      <c r="E124" s="137"/>
      <c r="F124" s="137"/>
      <c r="G124" s="97"/>
      <c r="H124" s="97"/>
      <c r="I124" s="97"/>
      <c r="J124" s="98"/>
      <c r="K124" s="97"/>
      <c r="L124" s="598" t="str">
        <f>Master!C2</f>
        <v>iz/kkukpk;Z</v>
      </c>
      <c r="M124" s="598"/>
      <c r="N124" s="598"/>
      <c r="O124" s="220"/>
      <c r="P124" s="220"/>
      <c r="Q124" s="220"/>
      <c r="R124" s="220"/>
      <c r="T124" s="138"/>
    </row>
    <row r="125" spans="1:102" ht="18.75">
      <c r="A125" s="96"/>
      <c r="B125" s="97"/>
      <c r="C125" s="137"/>
      <c r="D125" s="137"/>
      <c r="E125" s="137"/>
      <c r="F125" s="137"/>
      <c r="G125" s="97"/>
      <c r="H125" s="97"/>
      <c r="I125" s="97"/>
      <c r="J125" s="98"/>
      <c r="K125" s="97"/>
      <c r="L125" s="599" t="str">
        <f>Master!D2</f>
        <v>jktdh; vkn'kZ mPp ek/;fed fo|ky; bdygjk ¼ Mhx ½</v>
      </c>
      <c r="M125" s="599"/>
      <c r="N125" s="599"/>
      <c r="O125" s="221"/>
      <c r="P125" s="221"/>
      <c r="Q125" s="221"/>
      <c r="R125" s="221"/>
      <c r="T125" s="139"/>
    </row>
    <row r="126" spans="1:102" ht="18.75">
      <c r="A126" s="96"/>
      <c r="B126" s="97"/>
      <c r="C126" s="137"/>
      <c r="D126" s="137"/>
      <c r="E126" s="137"/>
      <c r="F126" s="137"/>
      <c r="G126" s="97"/>
      <c r="H126" s="97"/>
      <c r="I126" s="97"/>
      <c r="J126" s="98"/>
      <c r="K126" s="97"/>
      <c r="L126" s="599"/>
      <c r="M126" s="599"/>
      <c r="N126" s="599"/>
      <c r="O126" s="221"/>
      <c r="P126" s="221"/>
      <c r="Q126" s="221"/>
      <c r="R126" s="221"/>
      <c r="T126" s="139"/>
    </row>
    <row r="127" spans="1:102" ht="18.75">
      <c r="A127" s="96"/>
      <c r="B127" s="97"/>
      <c r="C127" s="137"/>
      <c r="D127" s="137"/>
      <c r="E127" s="137"/>
      <c r="F127" s="137"/>
      <c r="G127" s="97"/>
      <c r="H127" s="97"/>
      <c r="I127" s="97"/>
      <c r="J127" s="98"/>
      <c r="K127" s="97"/>
      <c r="L127" s="599"/>
      <c r="M127" s="599"/>
      <c r="N127" s="599"/>
      <c r="O127" s="221"/>
      <c r="P127" s="221"/>
      <c r="Q127" s="221"/>
      <c r="R127" s="221"/>
      <c r="T127" s="139"/>
    </row>
    <row r="128" spans="1:102">
      <c r="C128" s="101"/>
      <c r="D128" s="101"/>
      <c r="E128" s="101"/>
      <c r="F128" s="101"/>
    </row>
    <row r="129" spans="3:6">
      <c r="C129" s="101"/>
      <c r="D129" s="101"/>
      <c r="E129" s="101"/>
      <c r="F129" s="101"/>
    </row>
    <row r="130" spans="3:6">
      <c r="C130" s="101"/>
      <c r="D130" s="101"/>
      <c r="E130" s="101"/>
      <c r="F130" s="101"/>
    </row>
    <row r="131" spans="3:6">
      <c r="C131" s="101"/>
      <c r="D131" s="101"/>
      <c r="E131" s="101"/>
      <c r="F131" s="101"/>
    </row>
    <row r="132" spans="3:6">
      <c r="C132" s="101"/>
      <c r="D132" s="101"/>
      <c r="E132" s="101"/>
      <c r="F132" s="101"/>
    </row>
    <row r="133" spans="3:6">
      <c r="C133" s="101"/>
      <c r="D133" s="101"/>
      <c r="E133" s="101"/>
      <c r="F133" s="101"/>
    </row>
    <row r="134" spans="3:6">
      <c r="C134" s="101"/>
      <c r="D134" s="101"/>
      <c r="E134" s="101"/>
      <c r="F134" s="101"/>
    </row>
    <row r="135" spans="3:6">
      <c r="C135" s="101"/>
      <c r="D135" s="101"/>
      <c r="E135" s="101"/>
      <c r="F135" s="101"/>
    </row>
    <row r="136" spans="3:6">
      <c r="C136" s="101"/>
      <c r="D136" s="101"/>
      <c r="E136" s="101"/>
      <c r="F136" s="101"/>
    </row>
    <row r="137" spans="3:6">
      <c r="C137" s="101"/>
      <c r="D137" s="101"/>
      <c r="E137" s="101"/>
      <c r="F137" s="101"/>
    </row>
    <row r="138" spans="3:6">
      <c r="C138" s="101"/>
      <c r="D138" s="101"/>
      <c r="E138" s="101"/>
      <c r="F138" s="101"/>
    </row>
    <row r="139" spans="3:6">
      <c r="C139" s="101"/>
      <c r="D139" s="101"/>
      <c r="E139" s="101"/>
      <c r="F139" s="101"/>
    </row>
    <row r="140" spans="3:6">
      <c r="C140" s="101"/>
      <c r="D140" s="101"/>
      <c r="E140" s="101"/>
      <c r="F140" s="101"/>
    </row>
    <row r="141" spans="3:6">
      <c r="C141" s="101"/>
      <c r="D141" s="101"/>
      <c r="E141" s="101"/>
      <c r="F141" s="101"/>
    </row>
    <row r="467" spans="4:6" ht="15.75">
      <c r="E467" s="141"/>
    </row>
    <row r="477" spans="4:6" ht="15.75">
      <c r="D477" s="141" t="s">
        <v>237</v>
      </c>
      <c r="E477" s="142" t="s">
        <v>60</v>
      </c>
      <c r="F477" s="143">
        <v>6600</v>
      </c>
    </row>
    <row r="478" spans="4:6" ht="15.75">
      <c r="D478" s="141" t="s">
        <v>238</v>
      </c>
      <c r="E478" s="142" t="s">
        <v>239</v>
      </c>
      <c r="F478" s="143">
        <v>5400</v>
      </c>
    </row>
    <row r="479" spans="4:6" ht="15.75">
      <c r="D479" s="141" t="s">
        <v>240</v>
      </c>
      <c r="E479" s="142" t="s">
        <v>241</v>
      </c>
      <c r="F479" s="143">
        <v>4800</v>
      </c>
    </row>
    <row r="480" spans="4:6" ht="15.75">
      <c r="D480" s="141" t="s">
        <v>242</v>
      </c>
      <c r="E480" s="142" t="s">
        <v>243</v>
      </c>
      <c r="F480" s="143">
        <v>4800</v>
      </c>
    </row>
    <row r="481" spans="4:6" ht="15.75">
      <c r="D481" s="141" t="s">
        <v>244</v>
      </c>
      <c r="E481" s="142" t="s">
        <v>245</v>
      </c>
      <c r="F481" s="143">
        <v>4800</v>
      </c>
    </row>
    <row r="482" spans="4:6" ht="15.75">
      <c r="D482" s="141" t="s">
        <v>246</v>
      </c>
      <c r="E482" s="142" t="s">
        <v>65</v>
      </c>
      <c r="F482" s="143">
        <v>4800</v>
      </c>
    </row>
    <row r="483" spans="4:6" ht="15.75">
      <c r="D483" s="141" t="s">
        <v>247</v>
      </c>
      <c r="E483" s="142" t="s">
        <v>248</v>
      </c>
      <c r="F483" s="143">
        <v>4800</v>
      </c>
    </row>
    <row r="484" spans="4:6" ht="15.75">
      <c r="D484" s="141" t="s">
        <v>249</v>
      </c>
      <c r="E484" s="142" t="s">
        <v>250</v>
      </c>
      <c r="F484" s="143">
        <v>4800</v>
      </c>
    </row>
    <row r="485" spans="4:6" ht="15.75">
      <c r="D485" s="141" t="s">
        <v>251</v>
      </c>
      <c r="E485" s="142" t="s">
        <v>70</v>
      </c>
      <c r="F485" s="143">
        <v>4200</v>
      </c>
    </row>
    <row r="486" spans="4:6" ht="15.75">
      <c r="D486" s="141" t="s">
        <v>252</v>
      </c>
      <c r="E486" s="144" t="s">
        <v>253</v>
      </c>
      <c r="F486" s="143">
        <v>4200</v>
      </c>
    </row>
    <row r="487" spans="4:6" ht="15.75">
      <c r="D487" s="141" t="s">
        <v>254</v>
      </c>
      <c r="E487" s="142" t="s">
        <v>81</v>
      </c>
      <c r="F487" s="143">
        <v>4200</v>
      </c>
    </row>
    <row r="488" spans="4:6" ht="15.75">
      <c r="D488" s="141" t="s">
        <v>255</v>
      </c>
      <c r="E488" s="142" t="s">
        <v>256</v>
      </c>
      <c r="F488" s="143">
        <v>3600</v>
      </c>
    </row>
    <row r="489" spans="4:6" ht="15.75">
      <c r="D489" s="141" t="s">
        <v>257</v>
      </c>
      <c r="E489" s="142" t="s">
        <v>75</v>
      </c>
      <c r="F489" s="143">
        <v>3600</v>
      </c>
    </row>
    <row r="490" spans="4:6" ht="15.75">
      <c r="D490" s="141" t="s">
        <v>258</v>
      </c>
      <c r="E490" s="142" t="s">
        <v>259</v>
      </c>
      <c r="F490" s="143">
        <v>3600</v>
      </c>
    </row>
    <row r="491" spans="4:6" ht="15.75">
      <c r="D491" s="141" t="s">
        <v>260</v>
      </c>
      <c r="E491" s="142" t="s">
        <v>261</v>
      </c>
      <c r="F491" s="143">
        <v>3600</v>
      </c>
    </row>
    <row r="492" spans="4:6" ht="15.75">
      <c r="D492" s="141" t="s">
        <v>262</v>
      </c>
      <c r="E492" s="142" t="s">
        <v>263</v>
      </c>
      <c r="F492" s="143">
        <v>2800</v>
      </c>
    </row>
    <row r="493" spans="4:6" ht="15.75">
      <c r="D493" s="141" t="s">
        <v>264</v>
      </c>
      <c r="E493" s="142" t="s">
        <v>265</v>
      </c>
      <c r="F493" s="143">
        <v>2800</v>
      </c>
    </row>
    <row r="494" spans="4:6" ht="15.75">
      <c r="D494" s="141" t="s">
        <v>266</v>
      </c>
      <c r="E494" s="142" t="s">
        <v>267</v>
      </c>
      <c r="F494" s="143">
        <v>2400</v>
      </c>
    </row>
    <row r="495" spans="4:6" ht="15.75">
      <c r="D495" s="141" t="s">
        <v>268</v>
      </c>
      <c r="E495" s="142" t="s">
        <v>83</v>
      </c>
      <c r="F495" s="143">
        <v>2400</v>
      </c>
    </row>
    <row r="496" spans="4:6" ht="15.75">
      <c r="D496" s="141" t="s">
        <v>269</v>
      </c>
      <c r="E496" s="142" t="s">
        <v>86</v>
      </c>
      <c r="F496" s="143">
        <v>1700</v>
      </c>
    </row>
    <row r="497" spans="4:6" ht="15.75">
      <c r="D497" s="141" t="s">
        <v>270</v>
      </c>
      <c r="E497" s="142" t="s">
        <v>271</v>
      </c>
      <c r="F497" s="143">
        <v>1700</v>
      </c>
    </row>
    <row r="498" spans="4:6" ht="15.75">
      <c r="D498" s="141" t="s">
        <v>272</v>
      </c>
      <c r="E498" s="142" t="s">
        <v>273</v>
      </c>
      <c r="F498" s="143">
        <v>1700</v>
      </c>
    </row>
  </sheetData>
  <protectedRanges>
    <protectedRange sqref="F12:F25 F27:F70 U12:X25 W27:X70 F85:F92 F95:F103" name="Range1_3"/>
    <protectedRange sqref="G85:G92 G95:G103" name="Range1"/>
    <protectedRange sqref="G12:H25 G27:H70" name="Range1_3_1"/>
    <protectedRange sqref="G107:G110" name="Range1_1"/>
    <protectedRange sqref="G113:G116" name="Range1_2"/>
  </protectedRanges>
  <mergeCells count="37">
    <mergeCell ref="A6:N6"/>
    <mergeCell ref="L1:N1"/>
    <mergeCell ref="A2:N2"/>
    <mergeCell ref="A3:N3"/>
    <mergeCell ref="A4:N4"/>
    <mergeCell ref="A5:N5"/>
    <mergeCell ref="Y9:Z9"/>
    <mergeCell ref="AA9:AB9"/>
    <mergeCell ref="AC9:AD9"/>
    <mergeCell ref="A26:D26"/>
    <mergeCell ref="D75:F75"/>
    <mergeCell ref="N9:N10"/>
    <mergeCell ref="T9:T10"/>
    <mergeCell ref="U9:U10"/>
    <mergeCell ref="V9:V10"/>
    <mergeCell ref="W9:W10"/>
    <mergeCell ref="X9:X10"/>
    <mergeCell ref="H9:H10"/>
    <mergeCell ref="I9:I10"/>
    <mergeCell ref="J9:K9"/>
    <mergeCell ref="L9:L10"/>
    <mergeCell ref="L124:N124"/>
    <mergeCell ref="L125:N127"/>
    <mergeCell ref="A7:M8"/>
    <mergeCell ref="N7:N8"/>
    <mergeCell ref="A83:D83"/>
    <mergeCell ref="M9:M10"/>
    <mergeCell ref="A9:A10"/>
    <mergeCell ref="B9:B10"/>
    <mergeCell ref="C9:C10"/>
    <mergeCell ref="D9:D10"/>
    <mergeCell ref="E9:E10"/>
    <mergeCell ref="F9:F10"/>
    <mergeCell ref="B94:N94"/>
    <mergeCell ref="A84:N84"/>
    <mergeCell ref="A106:N106"/>
    <mergeCell ref="B112:N112"/>
  </mergeCells>
  <conditionalFormatting sqref="C1:C6 C9:C83 C85:C93 C95:C105 C107:C111 C113:C1048576">
    <cfRule type="containsText" dxfId="13" priority="3" operator="containsText" text="in fjDr">
      <formula>NOT(ISERROR(SEARCH("in fjDr",C1)))</formula>
    </cfRule>
  </conditionalFormatting>
  <pageMargins left="0.7" right="0.45" top="0.25" bottom="0.25" header="0.3" footer="0.3"/>
  <pageSetup paperSize="9" scale="7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U38"/>
  <sheetViews>
    <sheetView workbookViewId="0">
      <selection activeCell="E16" sqref="E16"/>
    </sheetView>
  </sheetViews>
  <sheetFormatPr defaultRowHeight="15"/>
  <sheetData>
    <row r="1" spans="1:21" ht="20.2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634">
        <f>Summary!$C$1</f>
        <v>30695</v>
      </c>
      <c r="Q1" s="634"/>
      <c r="R1" s="634"/>
      <c r="S1" s="634"/>
      <c r="T1" s="634"/>
    </row>
    <row r="2" spans="1:21" ht="26.25">
      <c r="A2" s="635" t="str">
        <f>Summary!$A$2</f>
        <v>iz/kkukpk;Z jktdh; vkn'kZ mPp ek/;fed fo|ky; bdygjk ¼ Mhx ½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</row>
    <row r="3" spans="1:21" ht="20.25">
      <c r="A3" s="590" t="s">
        <v>310</v>
      </c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</row>
    <row r="4" spans="1:21" ht="20.25">
      <c r="A4" s="590" t="s">
        <v>311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</row>
    <row r="5" spans="1:21" ht="20.25">
      <c r="A5" s="223"/>
      <c r="B5" s="224"/>
      <c r="C5" s="224"/>
      <c r="D5" s="224"/>
      <c r="E5" s="224"/>
      <c r="F5" s="224"/>
      <c r="G5" s="224"/>
      <c r="H5" s="633" t="s">
        <v>312</v>
      </c>
      <c r="I5" s="633"/>
      <c r="J5" s="225" t="str">
        <f>G9</f>
        <v>2019-20</v>
      </c>
      <c r="K5" s="632" t="s">
        <v>106</v>
      </c>
      <c r="L5" s="632"/>
      <c r="M5" s="632"/>
      <c r="N5" s="632"/>
      <c r="O5" s="224"/>
      <c r="P5" s="224"/>
      <c r="Q5" s="224"/>
      <c r="R5" s="224"/>
      <c r="S5" s="224"/>
      <c r="T5" s="224"/>
    </row>
    <row r="6" spans="1:21" ht="20.25">
      <c r="A6" s="223"/>
      <c r="B6" s="223"/>
      <c r="C6" s="590" t="str">
        <f>A2</f>
        <v>iz/kkukpk;Z jktdh; vkn'kZ mPp ek/;fed fo|ky; bdygjk ¼ Mhx ½</v>
      </c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 t="s">
        <v>313</v>
      </c>
      <c r="Q6" s="590"/>
      <c r="R6" s="590"/>
      <c r="S6" s="590"/>
      <c r="T6" s="223"/>
    </row>
    <row r="7" spans="1:21" ht="15.75">
      <c r="A7" s="631" t="str">
        <f>Summary!A5</f>
        <v>BUDGET HEAD : 2202-GENERAL EDUCATION, 02-SECONDARY EDUCATION, 109-GOVT. SEC. SCHOOL, (01)-BOYS SCHOOL (STATE FUND)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150"/>
    </row>
    <row r="8" spans="1:21" ht="47.25">
      <c r="A8" s="630" t="s">
        <v>8</v>
      </c>
      <c r="B8" s="630" t="s">
        <v>9</v>
      </c>
      <c r="C8" s="630" t="s">
        <v>314</v>
      </c>
      <c r="D8" s="636" t="s">
        <v>315</v>
      </c>
      <c r="E8" s="636"/>
      <c r="F8" s="636"/>
      <c r="G8" s="226" t="s">
        <v>110</v>
      </c>
      <c r="H8" s="636" t="s">
        <v>316</v>
      </c>
      <c r="I8" s="636"/>
      <c r="J8" s="636"/>
      <c r="K8" s="630" t="s">
        <v>317</v>
      </c>
      <c r="L8" s="630" t="s">
        <v>318</v>
      </c>
      <c r="M8" s="636" t="s">
        <v>319</v>
      </c>
      <c r="N8" s="636"/>
      <c r="O8" s="636"/>
      <c r="P8" s="636" t="s">
        <v>115</v>
      </c>
      <c r="Q8" s="636"/>
      <c r="R8" s="636"/>
      <c r="S8" s="630" t="s">
        <v>320</v>
      </c>
      <c r="T8" s="630" t="s">
        <v>176</v>
      </c>
    </row>
    <row r="9" spans="1:21" ht="38.25">
      <c r="A9" s="630"/>
      <c r="B9" s="630"/>
      <c r="C9" s="630"/>
      <c r="D9" s="227" t="str">
        <f>CONCATENATE((MID(Master!C4,1,4)-3),"-",(MID(Master!C4,6,2)-3))</f>
        <v>2016-17</v>
      </c>
      <c r="E9" s="227" t="str">
        <f>CONCATENATE((MID(Master!C4,1,4)-2),"-",(MID(Master!C4,6,2)-2))</f>
        <v>2017-18</v>
      </c>
      <c r="F9" s="227" t="str">
        <f>CONCATENATE((MID(Master!C4,1,4)-1),"-",(MID(Master!C4,6,2)-1))</f>
        <v>2018-19</v>
      </c>
      <c r="G9" s="227" t="str">
        <f>CONCATENATE((MID(Master!C4,1,4)),"-",(MID(Master!C4,6,2)))</f>
        <v>2019-20</v>
      </c>
      <c r="H9" s="228" t="s">
        <v>321</v>
      </c>
      <c r="I9" s="228" t="s">
        <v>322</v>
      </c>
      <c r="J9" s="228" t="s">
        <v>323</v>
      </c>
      <c r="K9" s="630"/>
      <c r="L9" s="630"/>
      <c r="M9" s="228" t="s">
        <v>324</v>
      </c>
      <c r="N9" s="228" t="s">
        <v>325</v>
      </c>
      <c r="O9" s="228" t="s">
        <v>326</v>
      </c>
      <c r="P9" s="228" t="s">
        <v>327</v>
      </c>
      <c r="Q9" s="228" t="s">
        <v>328</v>
      </c>
      <c r="R9" s="228" t="s">
        <v>329</v>
      </c>
      <c r="S9" s="630"/>
      <c r="T9" s="630"/>
    </row>
    <row r="10" spans="1:21">
      <c r="A10" s="227">
        <v>1</v>
      </c>
      <c r="B10" s="227">
        <v>2</v>
      </c>
      <c r="C10" s="227">
        <v>3</v>
      </c>
      <c r="D10" s="227">
        <v>5</v>
      </c>
      <c r="E10" s="227">
        <v>6</v>
      </c>
      <c r="F10" s="227">
        <v>6</v>
      </c>
      <c r="G10" s="227">
        <v>7</v>
      </c>
      <c r="H10" s="227">
        <v>8</v>
      </c>
      <c r="I10" s="227">
        <v>9</v>
      </c>
      <c r="J10" s="227">
        <v>10</v>
      </c>
      <c r="K10" s="227">
        <v>11</v>
      </c>
      <c r="L10" s="227">
        <v>12</v>
      </c>
      <c r="M10" s="227">
        <v>13</v>
      </c>
      <c r="N10" s="227">
        <v>14</v>
      </c>
      <c r="O10" s="227">
        <v>15</v>
      </c>
      <c r="P10" s="227">
        <v>16</v>
      </c>
      <c r="Q10" s="227">
        <v>17</v>
      </c>
      <c r="R10" s="227">
        <v>18</v>
      </c>
      <c r="S10" s="227">
        <v>19</v>
      </c>
      <c r="T10" s="227">
        <v>20</v>
      </c>
    </row>
    <row r="11" spans="1:21" ht="15.75">
      <c r="A11" s="229">
        <v>1</v>
      </c>
      <c r="B11" s="230" t="s">
        <v>330</v>
      </c>
      <c r="C11" s="228"/>
      <c r="D11" s="231">
        <f>Master!D11</f>
        <v>8513603</v>
      </c>
      <c r="E11" s="231">
        <f>Master!E11</f>
        <v>7033738</v>
      </c>
      <c r="F11" s="231">
        <f>Master!H11</f>
        <v>9348604</v>
      </c>
      <c r="G11" s="231">
        <f>Master!C11</f>
        <v>9820000</v>
      </c>
      <c r="H11" s="231">
        <f>Master!G11</f>
        <v>6705337</v>
      </c>
      <c r="I11" s="231">
        <f>Master!I11</f>
        <v>3407270</v>
      </c>
      <c r="J11" s="232">
        <f>H11+I11</f>
        <v>10112607</v>
      </c>
      <c r="K11" s="229">
        <f>L11-I11</f>
        <v>2301230</v>
      </c>
      <c r="L11" s="231">
        <f>'[1](3) Format 8'!N331</f>
        <v>5708500</v>
      </c>
      <c r="M11" s="231">
        <f>'[1](3) Format 8'!M331</f>
        <v>5861145</v>
      </c>
      <c r="N11" s="231">
        <v>0</v>
      </c>
      <c r="O11" s="231">
        <f>SUM(M11:N11)</f>
        <v>5861145</v>
      </c>
      <c r="P11" s="231">
        <f>L11-I11</f>
        <v>2301230</v>
      </c>
      <c r="Q11" s="231">
        <f>L11-J11</f>
        <v>-4404107</v>
      </c>
      <c r="R11" s="231">
        <f>L11-M11</f>
        <v>-152645</v>
      </c>
      <c r="S11" s="233" t="s">
        <v>331</v>
      </c>
      <c r="T11" s="231"/>
    </row>
    <row r="12" spans="1:21" ht="15.75">
      <c r="A12" s="227">
        <v>2</v>
      </c>
      <c r="B12" s="234" t="s">
        <v>332</v>
      </c>
      <c r="C12" s="228"/>
      <c r="D12" s="231">
        <f>Master!D12</f>
        <v>0</v>
      </c>
      <c r="E12" s="231">
        <f>Master!E12</f>
        <v>0</v>
      </c>
      <c r="F12" s="231">
        <f>Master!H12</f>
        <v>0</v>
      </c>
      <c r="G12" s="231">
        <f>Master!C12</f>
        <v>0</v>
      </c>
      <c r="H12" s="231">
        <f>Master!G12</f>
        <v>0</v>
      </c>
      <c r="I12" s="231">
        <f>Master!I12</f>
        <v>0</v>
      </c>
      <c r="J12" s="232">
        <f>H12+I12</f>
        <v>0</v>
      </c>
      <c r="K12" s="229">
        <f>L12-I12</f>
        <v>13000</v>
      </c>
      <c r="L12" s="231">
        <f>'[1](3) Format 8'!N332</f>
        <v>13000</v>
      </c>
      <c r="M12" s="231">
        <f>'[1](3) Format 8'!M332</f>
        <v>0</v>
      </c>
      <c r="N12" s="231">
        <v>0</v>
      </c>
      <c r="O12" s="231">
        <f>SUM(M12:N12)</f>
        <v>0</v>
      </c>
      <c r="P12" s="231">
        <f>L12-I12</f>
        <v>13000</v>
      </c>
      <c r="Q12" s="231">
        <f>L12-J12</f>
        <v>13000</v>
      </c>
      <c r="R12" s="231">
        <f>L12-M12</f>
        <v>13000</v>
      </c>
      <c r="S12" s="233" t="s">
        <v>331</v>
      </c>
      <c r="T12" s="231"/>
    </row>
    <row r="13" spans="1:21" ht="15.75">
      <c r="A13" s="227">
        <v>3</v>
      </c>
      <c r="B13" s="234" t="s">
        <v>333</v>
      </c>
      <c r="C13" s="228"/>
      <c r="D13" s="231">
        <f>Master!D13</f>
        <v>0</v>
      </c>
      <c r="E13" s="231">
        <f>Master!E13</f>
        <v>201175</v>
      </c>
      <c r="F13" s="231">
        <f>Master!H13</f>
        <v>0</v>
      </c>
      <c r="G13" s="231">
        <f>Master!C13</f>
        <v>0</v>
      </c>
      <c r="H13" s="231">
        <f>Master!G13</f>
        <v>0</v>
      </c>
      <c r="I13" s="231">
        <f>Master!I13</f>
        <v>0</v>
      </c>
      <c r="J13" s="232">
        <f>H13+I13</f>
        <v>0</v>
      </c>
      <c r="K13" s="229">
        <f>L13-I13</f>
        <v>12000</v>
      </c>
      <c r="L13" s="231">
        <f>'[1](3) Format 8'!N333</f>
        <v>12000</v>
      </c>
      <c r="M13" s="231">
        <f>'[1](3) Format 8'!M333</f>
        <v>0</v>
      </c>
      <c r="N13" s="231">
        <v>0</v>
      </c>
      <c r="O13" s="231">
        <f>SUM(M13:N13)</f>
        <v>0</v>
      </c>
      <c r="P13" s="231">
        <f>L13-I13</f>
        <v>12000</v>
      </c>
      <c r="Q13" s="231">
        <f>L13-J13</f>
        <v>12000</v>
      </c>
      <c r="R13" s="231">
        <f>L13-M13</f>
        <v>12000</v>
      </c>
      <c r="S13" s="233" t="s">
        <v>331</v>
      </c>
      <c r="T13" s="231"/>
    </row>
    <row r="14" spans="1:21">
      <c r="A14" s="235"/>
      <c r="B14" s="230" t="s">
        <v>15</v>
      </c>
      <c r="C14" s="228"/>
      <c r="D14" s="232">
        <f>Master!D14</f>
        <v>8513603</v>
      </c>
      <c r="E14" s="232">
        <f>Master!E14</f>
        <v>7234913</v>
      </c>
      <c r="F14" s="232">
        <f>Master!H14</f>
        <v>9348604</v>
      </c>
      <c r="G14" s="232">
        <f>Master!C14</f>
        <v>9820000</v>
      </c>
      <c r="H14" s="232">
        <f>Master!G14</f>
        <v>6705337</v>
      </c>
      <c r="I14" s="232">
        <f>Master!I14</f>
        <v>3407270</v>
      </c>
      <c r="J14" s="232">
        <f t="shared" ref="J14:R14" si="0">SUM(J11:J13)</f>
        <v>10112607</v>
      </c>
      <c r="K14" s="232">
        <f t="shared" si="0"/>
        <v>2326230</v>
      </c>
      <c r="L14" s="232">
        <f t="shared" si="0"/>
        <v>5733500</v>
      </c>
      <c r="M14" s="232">
        <f t="shared" si="0"/>
        <v>5861145</v>
      </c>
      <c r="N14" s="232">
        <f t="shared" si="0"/>
        <v>0</v>
      </c>
      <c r="O14" s="232">
        <f t="shared" si="0"/>
        <v>5861145</v>
      </c>
      <c r="P14" s="232">
        <f t="shared" si="0"/>
        <v>2326230</v>
      </c>
      <c r="Q14" s="232">
        <f t="shared" si="0"/>
        <v>-4379107</v>
      </c>
      <c r="R14" s="232">
        <f t="shared" si="0"/>
        <v>-127645</v>
      </c>
      <c r="S14" s="232"/>
      <c r="T14" s="232"/>
    </row>
    <row r="15" spans="1:21">
      <c r="A15" s="229"/>
      <c r="B15" s="230" t="s">
        <v>334</v>
      </c>
      <c r="C15" s="228"/>
      <c r="D15" s="235">
        <f>Master!D15</f>
        <v>0</v>
      </c>
      <c r="E15" s="229">
        <f>Master!E15</f>
        <v>0</v>
      </c>
      <c r="F15" s="229">
        <f>Master!H15</f>
        <v>0</v>
      </c>
      <c r="G15" s="235">
        <f>Master!C15</f>
        <v>0</v>
      </c>
      <c r="H15" s="229">
        <f>Master!G15</f>
        <v>0</v>
      </c>
      <c r="I15" s="229">
        <f>Master!I15</f>
        <v>0</v>
      </c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</row>
    <row r="16" spans="1:21" ht="15.75">
      <c r="A16" s="229">
        <v>1</v>
      </c>
      <c r="B16" s="236" t="s">
        <v>17</v>
      </c>
      <c r="C16" s="228"/>
      <c r="D16" s="237">
        <f>Master!D16</f>
        <v>0</v>
      </c>
      <c r="E16" s="231">
        <f>Master!E16</f>
        <v>0</v>
      </c>
      <c r="F16" s="231">
        <f>Master!H16</f>
        <v>0</v>
      </c>
      <c r="G16" s="231">
        <f>Master!C16</f>
        <v>0</v>
      </c>
      <c r="H16" s="231">
        <f>Master!G16</f>
        <v>0</v>
      </c>
      <c r="I16" s="231">
        <f>Master!I16</f>
        <v>0</v>
      </c>
      <c r="J16" s="235">
        <f t="shared" ref="J16:J23" si="1">SUM(H16:I16)</f>
        <v>0</v>
      </c>
      <c r="K16" s="229">
        <f t="shared" ref="K16:K29" si="2">L16-I16</f>
        <v>0</v>
      </c>
      <c r="L16" s="237">
        <f>Master!C16</f>
        <v>0</v>
      </c>
      <c r="M16" s="237">
        <f>L16</f>
        <v>0</v>
      </c>
      <c r="N16" s="237">
        <v>0</v>
      </c>
      <c r="O16" s="231">
        <f t="shared" ref="O16:O23" si="3">SUM(M16:N16)</f>
        <v>0</v>
      </c>
      <c r="P16" s="231">
        <f t="shared" ref="P16:P23" si="4">L16-I16</f>
        <v>0</v>
      </c>
      <c r="Q16" s="231">
        <f t="shared" ref="Q16:Q23" si="5">L16-J16</f>
        <v>0</v>
      </c>
      <c r="R16" s="231">
        <f t="shared" ref="R16:R23" si="6">L16-M16</f>
        <v>0</v>
      </c>
      <c r="S16" s="233" t="s">
        <v>331</v>
      </c>
      <c r="T16" s="237"/>
    </row>
    <row r="17" spans="1:20" ht="15.75">
      <c r="A17" s="229">
        <v>2</v>
      </c>
      <c r="B17" s="236" t="s">
        <v>18</v>
      </c>
      <c r="C17" s="228"/>
      <c r="D17" s="237">
        <f>Master!D17</f>
        <v>0</v>
      </c>
      <c r="E17" s="231">
        <f>Master!E17</f>
        <v>0</v>
      </c>
      <c r="F17" s="231">
        <f>Master!H17</f>
        <v>0</v>
      </c>
      <c r="G17" s="231">
        <f>Master!C17</f>
        <v>0</v>
      </c>
      <c r="H17" s="231">
        <f>Master!G17</f>
        <v>0</v>
      </c>
      <c r="I17" s="231">
        <f>Master!I17</f>
        <v>0</v>
      </c>
      <c r="J17" s="235">
        <f t="shared" si="1"/>
        <v>0</v>
      </c>
      <c r="K17" s="229">
        <f t="shared" si="2"/>
        <v>0</v>
      </c>
      <c r="L17" s="237">
        <f>Master!C17</f>
        <v>0</v>
      </c>
      <c r="M17" s="237">
        <f t="shared" ref="M17:N28" si="7">L17</f>
        <v>0</v>
      </c>
      <c r="N17" s="237">
        <f t="shared" si="7"/>
        <v>0</v>
      </c>
      <c r="O17" s="231">
        <f t="shared" si="3"/>
        <v>0</v>
      </c>
      <c r="P17" s="231">
        <f t="shared" si="4"/>
        <v>0</v>
      </c>
      <c r="Q17" s="231">
        <f t="shared" si="5"/>
        <v>0</v>
      </c>
      <c r="R17" s="231">
        <f t="shared" si="6"/>
        <v>0</v>
      </c>
      <c r="S17" s="233" t="s">
        <v>331</v>
      </c>
      <c r="T17" s="237"/>
    </row>
    <row r="18" spans="1:20" ht="15.75">
      <c r="A18" s="229">
        <v>3</v>
      </c>
      <c r="B18" s="236" t="s">
        <v>19</v>
      </c>
      <c r="C18" s="228"/>
      <c r="D18" s="237">
        <f>Master!D18</f>
        <v>0</v>
      </c>
      <c r="E18" s="231">
        <f>Master!E18</f>
        <v>0</v>
      </c>
      <c r="F18" s="231">
        <f>Master!H18</f>
        <v>0</v>
      </c>
      <c r="G18" s="231">
        <f>Master!C18</f>
        <v>0</v>
      </c>
      <c r="H18" s="231">
        <f>Master!G18</f>
        <v>0</v>
      </c>
      <c r="I18" s="231">
        <f>Master!I18</f>
        <v>0</v>
      </c>
      <c r="J18" s="235">
        <f t="shared" si="1"/>
        <v>0</v>
      </c>
      <c r="K18" s="229">
        <f t="shared" si="2"/>
        <v>0</v>
      </c>
      <c r="L18" s="237">
        <f>Master!C18</f>
        <v>0</v>
      </c>
      <c r="M18" s="237">
        <f t="shared" si="7"/>
        <v>0</v>
      </c>
      <c r="N18" s="237">
        <f t="shared" si="7"/>
        <v>0</v>
      </c>
      <c r="O18" s="231">
        <f t="shared" si="3"/>
        <v>0</v>
      </c>
      <c r="P18" s="231">
        <f t="shared" si="4"/>
        <v>0</v>
      </c>
      <c r="Q18" s="231">
        <f t="shared" si="5"/>
        <v>0</v>
      </c>
      <c r="R18" s="231">
        <f t="shared" si="6"/>
        <v>0</v>
      </c>
      <c r="S18" s="233" t="s">
        <v>331</v>
      </c>
      <c r="T18" s="237"/>
    </row>
    <row r="19" spans="1:20" ht="15.75">
      <c r="A19" s="229">
        <v>4</v>
      </c>
      <c r="B19" s="236" t="s">
        <v>20</v>
      </c>
      <c r="C19" s="228"/>
      <c r="D19" s="237">
        <f>Master!D19</f>
        <v>0</v>
      </c>
      <c r="E19" s="231">
        <f>Master!E19</f>
        <v>0</v>
      </c>
      <c r="F19" s="231">
        <f>Master!H19</f>
        <v>0</v>
      </c>
      <c r="G19" s="231">
        <f>Master!C19</f>
        <v>0</v>
      </c>
      <c r="H19" s="231">
        <f>Master!G19</f>
        <v>0</v>
      </c>
      <c r="I19" s="231">
        <f>Master!I19</f>
        <v>0</v>
      </c>
      <c r="J19" s="235">
        <f t="shared" si="1"/>
        <v>0</v>
      </c>
      <c r="K19" s="229">
        <f t="shared" si="2"/>
        <v>0</v>
      </c>
      <c r="L19" s="237">
        <f>Master!C19</f>
        <v>0</v>
      </c>
      <c r="M19" s="237">
        <f t="shared" si="7"/>
        <v>0</v>
      </c>
      <c r="N19" s="237">
        <f t="shared" si="7"/>
        <v>0</v>
      </c>
      <c r="O19" s="231">
        <f t="shared" si="3"/>
        <v>0</v>
      </c>
      <c r="P19" s="231">
        <f t="shared" si="4"/>
        <v>0</v>
      </c>
      <c r="Q19" s="231">
        <f t="shared" si="5"/>
        <v>0</v>
      </c>
      <c r="R19" s="231">
        <f t="shared" si="6"/>
        <v>0</v>
      </c>
      <c r="S19" s="233" t="s">
        <v>331</v>
      </c>
      <c r="T19" s="237"/>
    </row>
    <row r="20" spans="1:20" ht="15.75">
      <c r="A20" s="229">
        <v>5</v>
      </c>
      <c r="B20" s="236" t="s">
        <v>21</v>
      </c>
      <c r="C20" s="228"/>
      <c r="D20" s="237">
        <f>Master!D20</f>
        <v>0</v>
      </c>
      <c r="E20" s="231">
        <f>Master!E20</f>
        <v>0</v>
      </c>
      <c r="F20" s="231">
        <f>Master!H20</f>
        <v>0</v>
      </c>
      <c r="G20" s="231">
        <f>Master!C20</f>
        <v>0</v>
      </c>
      <c r="H20" s="231">
        <f>Master!G20</f>
        <v>0</v>
      </c>
      <c r="I20" s="231">
        <f>Master!I20</f>
        <v>0</v>
      </c>
      <c r="J20" s="235">
        <f t="shared" si="1"/>
        <v>0</v>
      </c>
      <c r="K20" s="229">
        <f t="shared" si="2"/>
        <v>0</v>
      </c>
      <c r="L20" s="237">
        <f>Master!C20</f>
        <v>0</v>
      </c>
      <c r="M20" s="237">
        <f t="shared" si="7"/>
        <v>0</v>
      </c>
      <c r="N20" s="237">
        <f t="shared" si="7"/>
        <v>0</v>
      </c>
      <c r="O20" s="231">
        <f t="shared" si="3"/>
        <v>0</v>
      </c>
      <c r="P20" s="231">
        <f t="shared" si="4"/>
        <v>0</v>
      </c>
      <c r="Q20" s="231">
        <f t="shared" si="5"/>
        <v>0</v>
      </c>
      <c r="R20" s="231">
        <f t="shared" si="6"/>
        <v>0</v>
      </c>
      <c r="S20" s="233" t="s">
        <v>331</v>
      </c>
      <c r="T20" s="237"/>
    </row>
    <row r="21" spans="1:20" ht="15.75">
      <c r="A21" s="229">
        <v>6</v>
      </c>
      <c r="B21" s="236" t="s">
        <v>22</v>
      </c>
      <c r="C21" s="228"/>
      <c r="D21" s="237">
        <f>Master!D21</f>
        <v>2485</v>
      </c>
      <c r="E21" s="231">
        <f>Master!E21</f>
        <v>2500</v>
      </c>
      <c r="F21" s="231">
        <f>Master!H21</f>
        <v>2500</v>
      </c>
      <c r="G21" s="231">
        <f>Master!C21</f>
        <v>2500</v>
      </c>
      <c r="H21" s="231">
        <f>Master!G21</f>
        <v>2500</v>
      </c>
      <c r="I21" s="231">
        <f>Master!I21</f>
        <v>0</v>
      </c>
      <c r="J21" s="235">
        <f t="shared" si="1"/>
        <v>2500</v>
      </c>
      <c r="K21" s="229">
        <f t="shared" si="2"/>
        <v>2500</v>
      </c>
      <c r="L21" s="237">
        <f>Master!C21</f>
        <v>2500</v>
      </c>
      <c r="M21" s="237">
        <f t="shared" si="7"/>
        <v>2500</v>
      </c>
      <c r="N21" s="237">
        <v>0</v>
      </c>
      <c r="O21" s="231">
        <f t="shared" si="3"/>
        <v>2500</v>
      </c>
      <c r="P21" s="231">
        <f t="shared" si="4"/>
        <v>2500</v>
      </c>
      <c r="Q21" s="231">
        <f t="shared" si="5"/>
        <v>0</v>
      </c>
      <c r="R21" s="231">
        <f t="shared" si="6"/>
        <v>0</v>
      </c>
      <c r="S21" s="233" t="s">
        <v>331</v>
      </c>
      <c r="T21" s="237"/>
    </row>
    <row r="22" spans="1:20" ht="15.75">
      <c r="A22" s="229">
        <v>7</v>
      </c>
      <c r="B22" s="236" t="s">
        <v>23</v>
      </c>
      <c r="C22" s="228"/>
      <c r="D22" s="237">
        <f>Master!D22</f>
        <v>0</v>
      </c>
      <c r="E22" s="231">
        <f>Master!E22</f>
        <v>0</v>
      </c>
      <c r="F22" s="231">
        <f>Master!H22</f>
        <v>0</v>
      </c>
      <c r="G22" s="231">
        <f>Master!C22</f>
        <v>0</v>
      </c>
      <c r="H22" s="231">
        <f>Master!G22</f>
        <v>0</v>
      </c>
      <c r="I22" s="231">
        <f>Master!I22</f>
        <v>0</v>
      </c>
      <c r="J22" s="235">
        <f t="shared" si="1"/>
        <v>0</v>
      </c>
      <c r="K22" s="229">
        <f t="shared" si="2"/>
        <v>0</v>
      </c>
      <c r="L22" s="237">
        <f>Master!C22</f>
        <v>0</v>
      </c>
      <c r="M22" s="237">
        <f t="shared" si="7"/>
        <v>0</v>
      </c>
      <c r="N22" s="237">
        <v>0</v>
      </c>
      <c r="O22" s="231">
        <f t="shared" si="3"/>
        <v>0</v>
      </c>
      <c r="P22" s="231">
        <f t="shared" si="4"/>
        <v>0</v>
      </c>
      <c r="Q22" s="231">
        <f t="shared" si="5"/>
        <v>0</v>
      </c>
      <c r="R22" s="231">
        <f t="shared" si="6"/>
        <v>0</v>
      </c>
      <c r="S22" s="233" t="s">
        <v>331</v>
      </c>
      <c r="T22" s="237"/>
    </row>
    <row r="23" spans="1:20" ht="15.75">
      <c r="A23" s="229">
        <v>8</v>
      </c>
      <c r="B23" s="236" t="s">
        <v>24</v>
      </c>
      <c r="C23" s="228"/>
      <c r="D23" s="237">
        <f>Master!D23</f>
        <v>0</v>
      </c>
      <c r="E23" s="231">
        <f>Master!E23</f>
        <v>0</v>
      </c>
      <c r="F23" s="231">
        <f>Master!H23</f>
        <v>0</v>
      </c>
      <c r="G23" s="231">
        <f>Master!C23</f>
        <v>0</v>
      </c>
      <c r="H23" s="231">
        <f>Master!G23</f>
        <v>0</v>
      </c>
      <c r="I23" s="231">
        <f>Master!I23</f>
        <v>0</v>
      </c>
      <c r="J23" s="235">
        <f t="shared" si="1"/>
        <v>0</v>
      </c>
      <c r="K23" s="229">
        <f t="shared" si="2"/>
        <v>0</v>
      </c>
      <c r="L23" s="237">
        <f>Master!C23</f>
        <v>0</v>
      </c>
      <c r="M23" s="237">
        <f t="shared" si="7"/>
        <v>0</v>
      </c>
      <c r="N23" s="237">
        <f t="shared" si="7"/>
        <v>0</v>
      </c>
      <c r="O23" s="231">
        <f t="shared" si="3"/>
        <v>0</v>
      </c>
      <c r="P23" s="231">
        <f t="shared" si="4"/>
        <v>0</v>
      </c>
      <c r="Q23" s="231">
        <f t="shared" si="5"/>
        <v>0</v>
      </c>
      <c r="R23" s="231">
        <f t="shared" si="6"/>
        <v>0</v>
      </c>
      <c r="S23" s="233" t="s">
        <v>331</v>
      </c>
      <c r="T23" s="237"/>
    </row>
    <row r="24" spans="1:20">
      <c r="A24" s="229"/>
      <c r="B24" s="230" t="s">
        <v>25</v>
      </c>
      <c r="C24" s="228"/>
      <c r="D24" s="235">
        <f>Master!D24</f>
        <v>2485</v>
      </c>
      <c r="E24" s="235">
        <f>Master!E24</f>
        <v>2500</v>
      </c>
      <c r="F24" s="235">
        <f>Master!H24</f>
        <v>2500</v>
      </c>
      <c r="G24" s="232">
        <f>Master!C24</f>
        <v>2500</v>
      </c>
      <c r="H24" s="235">
        <f>Master!G24</f>
        <v>2500</v>
      </c>
      <c r="I24" s="235">
        <f>Master!I24</f>
        <v>0</v>
      </c>
      <c r="J24" s="235">
        <f t="shared" ref="J24:R24" si="8">SUM(J16:J23)</f>
        <v>2500</v>
      </c>
      <c r="K24" s="235">
        <f t="shared" si="8"/>
        <v>2500</v>
      </c>
      <c r="L24" s="235">
        <f>Master!C24</f>
        <v>2500</v>
      </c>
      <c r="M24" s="235">
        <f t="shared" si="8"/>
        <v>2500</v>
      </c>
      <c r="N24" s="235">
        <f t="shared" si="8"/>
        <v>0</v>
      </c>
      <c r="O24" s="235">
        <f t="shared" si="8"/>
        <v>2500</v>
      </c>
      <c r="P24" s="235">
        <f t="shared" si="8"/>
        <v>2500</v>
      </c>
      <c r="Q24" s="235">
        <f t="shared" si="8"/>
        <v>0</v>
      </c>
      <c r="R24" s="235">
        <f t="shared" si="8"/>
        <v>0</v>
      </c>
      <c r="S24" s="235"/>
      <c r="T24" s="235"/>
    </row>
    <row r="25" spans="1:20" ht="15.75">
      <c r="A25" s="229">
        <v>1</v>
      </c>
      <c r="B25" s="236" t="s">
        <v>335</v>
      </c>
      <c r="C25" s="228"/>
      <c r="D25" s="237">
        <f>Master!D25</f>
        <v>0</v>
      </c>
      <c r="E25" s="231">
        <f>Master!E25</f>
        <v>0</v>
      </c>
      <c r="F25" s="231">
        <f>Master!H25</f>
        <v>0</v>
      </c>
      <c r="G25" s="231">
        <f>Master!C25</f>
        <v>0</v>
      </c>
      <c r="H25" s="231">
        <f>Master!G25</f>
        <v>0</v>
      </c>
      <c r="I25" s="231">
        <f>Master!I25</f>
        <v>0</v>
      </c>
      <c r="J25" s="235">
        <f>SUM(H25:I25)</f>
        <v>0</v>
      </c>
      <c r="K25" s="229">
        <f t="shared" si="2"/>
        <v>0</v>
      </c>
      <c r="L25" s="237">
        <f>Master!C25</f>
        <v>0</v>
      </c>
      <c r="M25" s="237">
        <f t="shared" si="7"/>
        <v>0</v>
      </c>
      <c r="N25" s="237">
        <f t="shared" si="7"/>
        <v>0</v>
      </c>
      <c r="O25" s="231">
        <f>SUM(M25:N25)</f>
        <v>0</v>
      </c>
      <c r="P25" s="231">
        <f>L25-I25</f>
        <v>0</v>
      </c>
      <c r="Q25" s="231">
        <f>L25-J25</f>
        <v>0</v>
      </c>
      <c r="R25" s="231">
        <f>L25-M25</f>
        <v>0</v>
      </c>
      <c r="S25" s="233" t="s">
        <v>331</v>
      </c>
      <c r="T25" s="237"/>
    </row>
    <row r="26" spans="1:20" ht="15.75">
      <c r="A26" s="229">
        <v>2</v>
      </c>
      <c r="B26" s="236" t="s">
        <v>336</v>
      </c>
      <c r="C26" s="228"/>
      <c r="D26" s="237">
        <f>Master!D26</f>
        <v>1200</v>
      </c>
      <c r="E26" s="231">
        <f>Master!E26</f>
        <v>1198</v>
      </c>
      <c r="F26" s="231">
        <f>Master!H26</f>
        <v>2500</v>
      </c>
      <c r="G26" s="231">
        <f>Master!C26</f>
        <v>2000</v>
      </c>
      <c r="H26" s="231">
        <f>Master!G26</f>
        <v>2500</v>
      </c>
      <c r="I26" s="231">
        <f>Master!I26</f>
        <v>0</v>
      </c>
      <c r="J26" s="235">
        <f>SUM(H26:I26)</f>
        <v>2500</v>
      </c>
      <c r="K26" s="229">
        <f t="shared" si="2"/>
        <v>2000</v>
      </c>
      <c r="L26" s="237">
        <f>Master!C26</f>
        <v>2000</v>
      </c>
      <c r="M26" s="229">
        <f t="shared" si="7"/>
        <v>2000</v>
      </c>
      <c r="N26" s="229">
        <v>0</v>
      </c>
      <c r="O26" s="231">
        <f>SUM(M26:N26)</f>
        <v>2000</v>
      </c>
      <c r="P26" s="231">
        <f>L26-I26</f>
        <v>2000</v>
      </c>
      <c r="Q26" s="231">
        <f>L26-J26</f>
        <v>-500</v>
      </c>
      <c r="R26" s="231">
        <f>L26-M26</f>
        <v>0</v>
      </c>
      <c r="S26" s="233" t="s">
        <v>331</v>
      </c>
      <c r="T26" s="229"/>
    </row>
    <row r="27" spans="1:20" ht="15.75">
      <c r="A27" s="229">
        <v>3</v>
      </c>
      <c r="B27" s="236" t="s">
        <v>337</v>
      </c>
      <c r="C27" s="228"/>
      <c r="D27" s="237">
        <f>Master!D27</f>
        <v>0</v>
      </c>
      <c r="E27" s="231">
        <f>Master!E27</f>
        <v>0</v>
      </c>
      <c r="F27" s="231">
        <f>Master!H27</f>
        <v>0</v>
      </c>
      <c r="G27" s="231">
        <f>Master!C27</f>
        <v>0</v>
      </c>
      <c r="H27" s="231">
        <f>Master!G27</f>
        <v>0</v>
      </c>
      <c r="I27" s="231">
        <f>Master!I27</f>
        <v>0</v>
      </c>
      <c r="J27" s="235">
        <f>SUM(H27:I27)</f>
        <v>0</v>
      </c>
      <c r="K27" s="229">
        <f t="shared" si="2"/>
        <v>0</v>
      </c>
      <c r="L27" s="237">
        <f>Master!C27</f>
        <v>0</v>
      </c>
      <c r="M27" s="229">
        <f t="shared" si="7"/>
        <v>0</v>
      </c>
      <c r="N27" s="229">
        <f t="shared" si="7"/>
        <v>0</v>
      </c>
      <c r="O27" s="231">
        <f>SUM(M27:N27)</f>
        <v>0</v>
      </c>
      <c r="P27" s="231">
        <f>L27-I27</f>
        <v>0</v>
      </c>
      <c r="Q27" s="231">
        <f>L27-J27</f>
        <v>0</v>
      </c>
      <c r="R27" s="231">
        <f>L27-M27</f>
        <v>0</v>
      </c>
      <c r="S27" s="233" t="s">
        <v>331</v>
      </c>
      <c r="T27" s="229"/>
    </row>
    <row r="28" spans="1:20" ht="15.75">
      <c r="A28" s="229">
        <v>4</v>
      </c>
      <c r="B28" s="236" t="s">
        <v>338</v>
      </c>
      <c r="C28" s="228"/>
      <c r="D28" s="237">
        <f>Master!D28</f>
        <v>1100</v>
      </c>
      <c r="E28" s="231">
        <f>Master!E28</f>
        <v>0</v>
      </c>
      <c r="F28" s="231">
        <f>Master!H28</f>
        <v>0</v>
      </c>
      <c r="G28" s="231">
        <f>Master!C28</f>
        <v>0</v>
      </c>
      <c r="H28" s="231">
        <f>Master!G28</f>
        <v>0</v>
      </c>
      <c r="I28" s="231">
        <f>Master!I28</f>
        <v>0</v>
      </c>
      <c r="J28" s="235">
        <f>SUM(H28:I28)</f>
        <v>0</v>
      </c>
      <c r="K28" s="229">
        <f t="shared" si="2"/>
        <v>0</v>
      </c>
      <c r="L28" s="237">
        <f>Master!C28</f>
        <v>0</v>
      </c>
      <c r="M28" s="229">
        <f t="shared" si="7"/>
        <v>0</v>
      </c>
      <c r="N28" s="229">
        <v>0</v>
      </c>
      <c r="O28" s="231">
        <f>SUM(M28:N28)</f>
        <v>0</v>
      </c>
      <c r="P28" s="231">
        <f>L28-I28</f>
        <v>0</v>
      </c>
      <c r="Q28" s="231">
        <f>L28-J28</f>
        <v>0</v>
      </c>
      <c r="R28" s="231">
        <f>L28-M28</f>
        <v>0</v>
      </c>
      <c r="S28" s="233" t="s">
        <v>331</v>
      </c>
      <c r="T28" s="229"/>
    </row>
    <row r="29" spans="1:20" ht="15.75">
      <c r="A29" s="229">
        <v>5</v>
      </c>
      <c r="B29" s="236" t="s">
        <v>339</v>
      </c>
      <c r="C29" s="228"/>
      <c r="D29" s="237">
        <f>Master!D29</f>
        <v>3300</v>
      </c>
      <c r="E29" s="231">
        <f>Master!E29</f>
        <v>3300</v>
      </c>
      <c r="F29" s="231">
        <f>Master!H29</f>
        <v>3300</v>
      </c>
      <c r="G29" s="231">
        <f>Master!C29</f>
        <v>3300</v>
      </c>
      <c r="H29" s="231">
        <f>Master!G29</f>
        <v>3300</v>
      </c>
      <c r="I29" s="231">
        <f>Master!I29</f>
        <v>0</v>
      </c>
      <c r="J29" s="235">
        <f>SUM(H29:I29)</f>
        <v>3300</v>
      </c>
      <c r="K29" s="229">
        <f t="shared" si="2"/>
        <v>3300</v>
      </c>
      <c r="L29" s="237">
        <f>Master!C29</f>
        <v>3300</v>
      </c>
      <c r="M29" s="229">
        <f>L29</f>
        <v>3300</v>
      </c>
      <c r="N29" s="229">
        <v>0</v>
      </c>
      <c r="O29" s="231">
        <f>SUM(M29:N29)</f>
        <v>3300</v>
      </c>
      <c r="P29" s="231">
        <f>L29-I29</f>
        <v>3300</v>
      </c>
      <c r="Q29" s="231">
        <f>L29-J29</f>
        <v>0</v>
      </c>
      <c r="R29" s="231">
        <f>L29-M29</f>
        <v>0</v>
      </c>
      <c r="S29" s="233" t="s">
        <v>331</v>
      </c>
      <c r="T29" s="229"/>
    </row>
    <row r="30" spans="1:20">
      <c r="A30" s="229"/>
      <c r="B30" s="230" t="s">
        <v>31</v>
      </c>
      <c r="C30" s="228"/>
      <c r="D30" s="232">
        <f>Master!D30</f>
        <v>5600</v>
      </c>
      <c r="E30" s="232">
        <f>Master!E30</f>
        <v>4498</v>
      </c>
      <c r="F30" s="232">
        <f>Master!H30</f>
        <v>5800</v>
      </c>
      <c r="G30" s="232">
        <f>Master!C30</f>
        <v>5300</v>
      </c>
      <c r="H30" s="232">
        <f>Master!G30</f>
        <v>5800</v>
      </c>
      <c r="I30" s="232">
        <f>Master!I30</f>
        <v>0</v>
      </c>
      <c r="J30" s="232">
        <f>SUM(J25:J29)</f>
        <v>5800</v>
      </c>
      <c r="K30" s="232">
        <f>SUM(K25:K29)</f>
        <v>5300</v>
      </c>
      <c r="L30" s="232">
        <f>Master!C30</f>
        <v>5300</v>
      </c>
      <c r="M30" s="232">
        <f t="shared" ref="M30:R30" si="9">SUM(M25:M29)</f>
        <v>5300</v>
      </c>
      <c r="N30" s="232">
        <f t="shared" si="9"/>
        <v>0</v>
      </c>
      <c r="O30" s="232">
        <f t="shared" si="9"/>
        <v>5300</v>
      </c>
      <c r="P30" s="232">
        <f t="shared" si="9"/>
        <v>5300</v>
      </c>
      <c r="Q30" s="232">
        <f t="shared" si="9"/>
        <v>-500</v>
      </c>
      <c r="R30" s="232">
        <f t="shared" si="9"/>
        <v>0</v>
      </c>
      <c r="S30" s="232"/>
      <c r="T30" s="232"/>
    </row>
    <row r="31" spans="1:20">
      <c r="A31" s="229"/>
      <c r="B31" s="230" t="s">
        <v>32</v>
      </c>
      <c r="C31" s="228"/>
      <c r="D31" s="232">
        <f>Master!D31</f>
        <v>8085</v>
      </c>
      <c r="E31" s="232">
        <f>Master!E31</f>
        <v>6998</v>
      </c>
      <c r="F31" s="232">
        <f>Master!H31</f>
        <v>8300</v>
      </c>
      <c r="G31" s="232">
        <f>Master!C31</f>
        <v>7800</v>
      </c>
      <c r="H31" s="232">
        <f>Master!G31</f>
        <v>8300</v>
      </c>
      <c r="I31" s="232">
        <f>Master!I31</f>
        <v>0</v>
      </c>
      <c r="J31" s="232">
        <f>J24+J30</f>
        <v>8300</v>
      </c>
      <c r="K31" s="232">
        <f>K24+K30</f>
        <v>7800</v>
      </c>
      <c r="L31" s="232">
        <f>Master!C31</f>
        <v>7800</v>
      </c>
      <c r="M31" s="232">
        <f t="shared" ref="M31:R31" si="10">M24+M30</f>
        <v>7800</v>
      </c>
      <c r="N31" s="232">
        <f t="shared" si="10"/>
        <v>0</v>
      </c>
      <c r="O31" s="232">
        <f t="shared" si="10"/>
        <v>7800</v>
      </c>
      <c r="P31" s="232">
        <f t="shared" si="10"/>
        <v>7800</v>
      </c>
      <c r="Q31" s="232">
        <f t="shared" si="10"/>
        <v>-500</v>
      </c>
      <c r="R31" s="232">
        <f t="shared" si="10"/>
        <v>0</v>
      </c>
      <c r="S31" s="232"/>
      <c r="T31" s="232"/>
    </row>
    <row r="32" spans="1:20">
      <c r="A32" s="229"/>
      <c r="B32" s="230" t="s">
        <v>33</v>
      </c>
      <c r="C32" s="228"/>
      <c r="D32" s="232">
        <f>Master!D32</f>
        <v>8521688</v>
      </c>
      <c r="E32" s="232">
        <f>Master!E32</f>
        <v>7241911</v>
      </c>
      <c r="F32" s="232">
        <f>Master!H32</f>
        <v>9356904</v>
      </c>
      <c r="G32" s="232">
        <f>Master!C32</f>
        <v>9827800</v>
      </c>
      <c r="H32" s="232">
        <f>Master!G32</f>
        <v>6713637</v>
      </c>
      <c r="I32" s="232">
        <f>Master!I32</f>
        <v>3407270</v>
      </c>
      <c r="J32" s="232">
        <f>J31+J14</f>
        <v>10120907</v>
      </c>
      <c r="K32" s="232">
        <f>K31+K14</f>
        <v>2334030</v>
      </c>
      <c r="L32" s="232">
        <f>Master!C32</f>
        <v>9827800</v>
      </c>
      <c r="M32" s="232">
        <f t="shared" ref="M32:R32" si="11">M31+M14</f>
        <v>5868945</v>
      </c>
      <c r="N32" s="232">
        <f t="shared" si="11"/>
        <v>0</v>
      </c>
      <c r="O32" s="232">
        <f t="shared" si="11"/>
        <v>5868945</v>
      </c>
      <c r="P32" s="232">
        <f t="shared" si="11"/>
        <v>2334030</v>
      </c>
      <c r="Q32" s="232">
        <f t="shared" si="11"/>
        <v>-4379607</v>
      </c>
      <c r="R32" s="232">
        <f t="shared" si="11"/>
        <v>-127645</v>
      </c>
      <c r="S32" s="232"/>
      <c r="T32" s="232"/>
    </row>
    <row r="33" spans="1:20">
      <c r="A33" s="238"/>
      <c r="B33" s="238"/>
      <c r="C33" s="238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38"/>
      <c r="Q33" s="238"/>
      <c r="R33" s="238"/>
      <c r="S33" s="238"/>
      <c r="T33" s="238"/>
    </row>
    <row r="34" spans="1:20" ht="18.75">
      <c r="A34" s="238"/>
      <c r="B34" s="238"/>
      <c r="C34" s="238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587" t="str">
        <f>Master!C2</f>
        <v>iz/kkukpk;Z</v>
      </c>
      <c r="Q34" s="587"/>
      <c r="R34" s="587"/>
      <c r="S34" s="587"/>
      <c r="T34" s="238"/>
    </row>
    <row r="35" spans="1:20" ht="15" customHeight="1">
      <c r="A35" s="238"/>
      <c r="B35" s="238"/>
      <c r="C35" s="238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588" t="str">
        <f>Master!D2</f>
        <v>jktdh; vkn'kZ mPp ek/;fed fo|ky; bdygjk ¼ Mhx ½</v>
      </c>
      <c r="Q35" s="588"/>
      <c r="R35" s="588"/>
      <c r="S35" s="588"/>
      <c r="T35" s="238"/>
    </row>
    <row r="36" spans="1:20" ht="15" customHeight="1">
      <c r="A36" s="238"/>
      <c r="B36" s="238"/>
      <c r="C36" s="238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588"/>
      <c r="Q36" s="588"/>
      <c r="R36" s="588"/>
      <c r="S36" s="588"/>
      <c r="T36" s="238"/>
    </row>
    <row r="37" spans="1:20" ht="18.75">
      <c r="A37" s="238"/>
      <c r="B37" s="238"/>
      <c r="C37" s="238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148"/>
      <c r="P37" s="588"/>
      <c r="Q37" s="588"/>
      <c r="R37" s="588"/>
      <c r="S37" s="588"/>
      <c r="T37" s="238"/>
    </row>
    <row r="38" spans="1:20">
      <c r="A38" s="149"/>
      <c r="B38" s="149"/>
      <c r="C38" s="149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9"/>
      <c r="Q38" s="149"/>
      <c r="R38" s="149"/>
      <c r="S38" s="149"/>
      <c r="T38" s="149"/>
    </row>
  </sheetData>
  <protectedRanges>
    <protectedRange sqref="D16:D23 D25:D29" name="Range1"/>
  </protectedRanges>
  <mergeCells count="22">
    <mergeCell ref="P34:S34"/>
    <mergeCell ref="P35:S37"/>
    <mergeCell ref="P1:T1"/>
    <mergeCell ref="A2:T2"/>
    <mergeCell ref="A3:T3"/>
    <mergeCell ref="A4:T4"/>
    <mergeCell ref="A8:A9"/>
    <mergeCell ref="B8:B9"/>
    <mergeCell ref="C8:C9"/>
    <mergeCell ref="D8:F8"/>
    <mergeCell ref="H8:J8"/>
    <mergeCell ref="K8:K9"/>
    <mergeCell ref="L8:L9"/>
    <mergeCell ref="M8:O8"/>
    <mergeCell ref="P8:R8"/>
    <mergeCell ref="S8:S9"/>
    <mergeCell ref="T8:T9"/>
    <mergeCell ref="A7:T7"/>
    <mergeCell ref="C6:O6"/>
    <mergeCell ref="P6:S6"/>
    <mergeCell ref="K5:N5"/>
    <mergeCell ref="H5:I5"/>
  </mergeCells>
  <pageMargins left="0.45" right="0.2" top="0.25" bottom="0.25" header="0.3" footer="0.3"/>
  <pageSetup paperSize="9" scale="7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O20"/>
  <sheetViews>
    <sheetView workbookViewId="0">
      <selection activeCell="I12" sqref="I12"/>
    </sheetView>
  </sheetViews>
  <sheetFormatPr defaultRowHeight="15"/>
  <cols>
    <col min="1" max="1" width="5.42578125" customWidth="1"/>
    <col min="2" max="2" width="17" customWidth="1"/>
    <col min="3" max="3" width="8.28515625" customWidth="1"/>
    <col min="4" max="4" width="8.140625" customWidth="1"/>
    <col min="5" max="5" width="8.28515625" customWidth="1"/>
    <col min="6" max="6" width="8.140625" customWidth="1"/>
    <col min="7" max="7" width="8.42578125" customWidth="1"/>
    <col min="8" max="8" width="8.7109375" customWidth="1"/>
    <col min="9" max="9" width="8.28515625" customWidth="1"/>
    <col min="11" max="11" width="8.28515625" customWidth="1"/>
    <col min="12" max="12" width="8.85546875" customWidth="1"/>
    <col min="14" max="14" width="8.140625" customWidth="1"/>
    <col min="15" max="15" width="8.42578125" customWidth="1"/>
  </cols>
  <sheetData>
    <row r="1" spans="1:15" ht="18.7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642">
        <f>Summary!$C$1</f>
        <v>30695</v>
      </c>
      <c r="M1" s="642"/>
      <c r="N1" s="642"/>
      <c r="O1" s="642"/>
    </row>
    <row r="2" spans="1:15" ht="26.25">
      <c r="A2" s="643" t="str">
        <f>Summary!A2</f>
        <v>iz/kkukpk;Z jktdh; vkn'kZ mPp ek/;fed fo|ky; bdygjk ¼ Mhx ½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</row>
    <row r="3" spans="1:15" ht="23.25">
      <c r="A3" s="644" t="s">
        <v>104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</row>
    <row r="4" spans="1:15" ht="23.25">
      <c r="A4" s="152"/>
      <c r="B4" s="153"/>
      <c r="C4" s="648" t="s">
        <v>105</v>
      </c>
      <c r="D4" s="648"/>
      <c r="E4" s="648"/>
      <c r="F4" s="648"/>
      <c r="G4" s="648"/>
      <c r="H4" s="648"/>
      <c r="I4" s="154" t="str">
        <f>F7</f>
        <v>2019-20</v>
      </c>
      <c r="J4" s="647" t="s">
        <v>106</v>
      </c>
      <c r="K4" s="647"/>
      <c r="L4" s="647"/>
      <c r="M4" s="647"/>
      <c r="N4" s="647"/>
      <c r="O4" s="153"/>
    </row>
    <row r="5" spans="1:15" ht="15.75">
      <c r="A5" s="637" t="s">
        <v>107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8" t="s">
        <v>340</v>
      </c>
      <c r="N5" s="638"/>
      <c r="O5" s="638"/>
    </row>
    <row r="6" spans="1:15" ht="38.25">
      <c r="A6" s="645" t="s">
        <v>8</v>
      </c>
      <c r="B6" s="646" t="s">
        <v>108</v>
      </c>
      <c r="C6" s="645" t="s">
        <v>109</v>
      </c>
      <c r="D6" s="645"/>
      <c r="E6" s="645"/>
      <c r="F6" s="155" t="s">
        <v>110</v>
      </c>
      <c r="G6" s="645" t="s">
        <v>111</v>
      </c>
      <c r="H6" s="645"/>
      <c r="I6" s="645"/>
      <c r="J6" s="645" t="s">
        <v>112</v>
      </c>
      <c r="K6" s="645" t="s">
        <v>113</v>
      </c>
      <c r="L6" s="645" t="s">
        <v>114</v>
      </c>
      <c r="M6" s="645" t="s">
        <v>115</v>
      </c>
      <c r="N6" s="645"/>
      <c r="O6" s="645"/>
    </row>
    <row r="7" spans="1:15" ht="38.25">
      <c r="A7" s="645"/>
      <c r="B7" s="646"/>
      <c r="C7" s="156" t="str">
        <f>Master!C35</f>
        <v>2016-17</v>
      </c>
      <c r="D7" s="156" t="str">
        <f>Master!D35</f>
        <v>2017-18</v>
      </c>
      <c r="E7" s="156" t="str">
        <f>Master!E35</f>
        <v>2018-19</v>
      </c>
      <c r="F7" s="156" t="str">
        <f>Master!H35</f>
        <v>2019-20</v>
      </c>
      <c r="G7" s="155" t="str">
        <f>Master!F36</f>
        <v>vxLr 18 ls ekpZ 19 rd</v>
      </c>
      <c r="H7" s="155" t="str">
        <f>Master!H36</f>
        <v>vizSy 19 ls tqykbZ 19 rd</v>
      </c>
      <c r="I7" s="155" t="s">
        <v>116</v>
      </c>
      <c r="J7" s="645"/>
      <c r="K7" s="645"/>
      <c r="L7" s="645"/>
      <c r="M7" s="155" t="s">
        <v>117</v>
      </c>
      <c r="N7" s="155" t="s">
        <v>118</v>
      </c>
      <c r="O7" s="155" t="s">
        <v>119</v>
      </c>
    </row>
    <row r="8" spans="1:15">
      <c r="A8" s="156">
        <v>1</v>
      </c>
      <c r="B8" s="157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156">
        <v>14</v>
      </c>
      <c r="O8" s="156">
        <v>15</v>
      </c>
    </row>
    <row r="9" spans="1:15" ht="21.95" customHeight="1">
      <c r="A9" s="156">
        <v>1</v>
      </c>
      <c r="B9" s="158" t="s">
        <v>35</v>
      </c>
      <c r="C9" s="239">
        <f>Master!C38</f>
        <v>3380</v>
      </c>
      <c r="D9" s="239">
        <v>360</v>
      </c>
      <c r="E9" s="239">
        <f>Master!G38</f>
        <v>1735</v>
      </c>
      <c r="F9" s="239">
        <f>L9</f>
        <v>2025</v>
      </c>
      <c r="G9" s="239">
        <f>Master!F38</f>
        <v>1735</v>
      </c>
      <c r="H9" s="239">
        <f>Master!H38</f>
        <v>0</v>
      </c>
      <c r="I9" s="240">
        <f>SUM(G9:H9)</f>
        <v>1735</v>
      </c>
      <c r="J9" s="239">
        <f>F9-H9</f>
        <v>2025</v>
      </c>
      <c r="K9" s="239">
        <f>'(1) Prapatra kh'!K12</f>
        <v>1700</v>
      </c>
      <c r="L9" s="239">
        <f>'(1) Prapatra kh'!L12</f>
        <v>2025</v>
      </c>
      <c r="M9" s="239">
        <f>K9-F9</f>
        <v>-325</v>
      </c>
      <c r="N9" s="239">
        <f>K9-I9</f>
        <v>-35</v>
      </c>
      <c r="O9" s="239">
        <f>L9-K9</f>
        <v>325</v>
      </c>
    </row>
    <row r="10" spans="1:15" ht="21.95" customHeight="1">
      <c r="A10" s="156">
        <v>2</v>
      </c>
      <c r="B10" s="158" t="s">
        <v>36</v>
      </c>
      <c r="C10" s="239">
        <f>Master!C39</f>
        <v>0</v>
      </c>
      <c r="D10" s="239">
        <f>Master!D39</f>
        <v>0</v>
      </c>
      <c r="E10" s="239">
        <f>Master!G39</f>
        <v>0</v>
      </c>
      <c r="F10" s="239">
        <f>L10</f>
        <v>0</v>
      </c>
      <c r="G10" s="239">
        <f>Master!F39</f>
        <v>0</v>
      </c>
      <c r="H10" s="239">
        <f>Master!H39</f>
        <v>0</v>
      </c>
      <c r="I10" s="240">
        <f>SUM(G10:H10)</f>
        <v>0</v>
      </c>
      <c r="J10" s="239">
        <f>F10</f>
        <v>0</v>
      </c>
      <c r="K10" s="239">
        <f>'(1) Prapatra kh'!K13</f>
        <v>0</v>
      </c>
      <c r="L10" s="239">
        <f>'(1) Prapatra kh'!L13</f>
        <v>0</v>
      </c>
      <c r="M10" s="239">
        <f>K10-F10</f>
        <v>0</v>
      </c>
      <c r="N10" s="239">
        <f>K10-I10</f>
        <v>0</v>
      </c>
      <c r="O10" s="239">
        <f>L10-K10</f>
        <v>0</v>
      </c>
    </row>
    <row r="11" spans="1:15" ht="21.95" customHeight="1">
      <c r="A11" s="156">
        <v>3</v>
      </c>
      <c r="B11" s="158" t="s">
        <v>37</v>
      </c>
      <c r="C11" s="239">
        <f>Master!C40</f>
        <v>0</v>
      </c>
      <c r="D11" s="239">
        <f>Master!D40</f>
        <v>0</v>
      </c>
      <c r="E11" s="239">
        <f>Master!G40</f>
        <v>0</v>
      </c>
      <c r="F11" s="239">
        <f>L11</f>
        <v>0</v>
      </c>
      <c r="G11" s="239">
        <f>Master!F40</f>
        <v>0</v>
      </c>
      <c r="H11" s="239">
        <f>Master!H40</f>
        <v>0</v>
      </c>
      <c r="I11" s="240">
        <f>SUM(G11:H11)</f>
        <v>0</v>
      </c>
      <c r="J11" s="239">
        <f>F11</f>
        <v>0</v>
      </c>
      <c r="K11" s="239">
        <f>'(1) Prapatra kh'!K14</f>
        <v>0</v>
      </c>
      <c r="L11" s="239">
        <f>'(1) Prapatra kh'!L14</f>
        <v>0</v>
      </c>
      <c r="M11" s="239">
        <f>K11-F11</f>
        <v>0</v>
      </c>
      <c r="N11" s="239">
        <f>K11-I11</f>
        <v>0</v>
      </c>
      <c r="O11" s="239">
        <f>L11-K11</f>
        <v>0</v>
      </c>
    </row>
    <row r="12" spans="1:15" ht="21.95" customHeight="1">
      <c r="A12" s="156">
        <v>4</v>
      </c>
      <c r="B12" s="158" t="s">
        <v>38</v>
      </c>
      <c r="C12" s="239">
        <f>Master!C41</f>
        <v>0</v>
      </c>
      <c r="D12" s="239">
        <f>Master!D41</f>
        <v>0</v>
      </c>
      <c r="E12" s="239">
        <f>Master!G41</f>
        <v>0</v>
      </c>
      <c r="F12" s="239">
        <f>L12</f>
        <v>0</v>
      </c>
      <c r="G12" s="239">
        <f>Master!F41</f>
        <v>0</v>
      </c>
      <c r="H12" s="239">
        <f>Master!H41</f>
        <v>0</v>
      </c>
      <c r="I12" s="240">
        <f>SUM(G12:H12)</f>
        <v>0</v>
      </c>
      <c r="J12" s="239">
        <f>F12</f>
        <v>0</v>
      </c>
      <c r="K12" s="239">
        <f>'(1) Prapatra kh'!K15</f>
        <v>0</v>
      </c>
      <c r="L12" s="239">
        <f>'(1) Prapatra kh'!L15</f>
        <v>0</v>
      </c>
      <c r="M12" s="239">
        <f>K12-F12</f>
        <v>0</v>
      </c>
      <c r="N12" s="239">
        <f>K12-I12</f>
        <v>0</v>
      </c>
      <c r="O12" s="239">
        <f>L12-K12</f>
        <v>0</v>
      </c>
    </row>
    <row r="13" spans="1:15" ht="24.75" customHeight="1">
      <c r="A13" s="156">
        <v>5</v>
      </c>
      <c r="B13" s="158" t="s">
        <v>39</v>
      </c>
      <c r="C13" s="239">
        <f>Master!C42</f>
        <v>0</v>
      </c>
      <c r="D13" s="239">
        <f>Master!D42</f>
        <v>0</v>
      </c>
      <c r="E13" s="239">
        <f>Master!G42</f>
        <v>0</v>
      </c>
      <c r="F13" s="239">
        <f>L13</f>
        <v>0</v>
      </c>
      <c r="G13" s="239">
        <f>Master!F42</f>
        <v>0</v>
      </c>
      <c r="H13" s="239">
        <f>Master!H42</f>
        <v>0</v>
      </c>
      <c r="I13" s="240">
        <f>SUM(G13:H13)</f>
        <v>0</v>
      </c>
      <c r="J13" s="239">
        <f>F13</f>
        <v>0</v>
      </c>
      <c r="K13" s="239">
        <f>'(1) Prapatra kh'!K16</f>
        <v>0</v>
      </c>
      <c r="L13" s="239">
        <f>'(1) Prapatra kh'!L16</f>
        <v>0</v>
      </c>
      <c r="M13" s="239">
        <f>K13-F13</f>
        <v>0</v>
      </c>
      <c r="N13" s="239">
        <f>K13-I13</f>
        <v>0</v>
      </c>
      <c r="O13" s="239">
        <f>L13-K13</f>
        <v>0</v>
      </c>
    </row>
    <row r="14" spans="1:15" ht="16.5" customHeight="1">
      <c r="A14" s="641" t="s">
        <v>120</v>
      </c>
      <c r="B14" s="641"/>
      <c r="C14" s="240">
        <f>SUM(C9:C13)</f>
        <v>3380</v>
      </c>
      <c r="D14" s="240">
        <f t="shared" ref="D14:O14" si="0">SUM(D9:D13)</f>
        <v>360</v>
      </c>
      <c r="E14" s="240">
        <f t="shared" si="0"/>
        <v>1735</v>
      </c>
      <c r="F14" s="240">
        <f t="shared" si="0"/>
        <v>2025</v>
      </c>
      <c r="G14" s="240">
        <f t="shared" si="0"/>
        <v>1735</v>
      </c>
      <c r="H14" s="240">
        <f t="shared" si="0"/>
        <v>0</v>
      </c>
      <c r="I14" s="240">
        <f t="shared" si="0"/>
        <v>1735</v>
      </c>
      <c r="J14" s="240">
        <f t="shared" si="0"/>
        <v>2025</v>
      </c>
      <c r="K14" s="240">
        <f t="shared" si="0"/>
        <v>1700</v>
      </c>
      <c r="L14" s="240">
        <f t="shared" si="0"/>
        <v>2025</v>
      </c>
      <c r="M14" s="240">
        <f t="shared" si="0"/>
        <v>-325</v>
      </c>
      <c r="N14" s="240">
        <f t="shared" si="0"/>
        <v>-35</v>
      </c>
      <c r="O14" s="240">
        <f t="shared" si="0"/>
        <v>325</v>
      </c>
    </row>
    <row r="15" spans="1:15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</row>
    <row r="16" spans="1:1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</row>
    <row r="17" spans="1:15" ht="18.75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640" t="str">
        <f>Master!C2</f>
        <v>iz/kkukpk;Z</v>
      </c>
      <c r="M17" s="640"/>
      <c r="N17" s="640"/>
      <c r="O17" s="640"/>
    </row>
    <row r="18" spans="1:15" ht="15" customHeight="1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639" t="str">
        <f>Master!D2</f>
        <v>jktdh; vkn'kZ mPp ek/;fed fo|ky; bdygjk ¼ Mhx ½</v>
      </c>
      <c r="M18" s="639"/>
      <c r="N18" s="639"/>
      <c r="O18" s="639"/>
    </row>
    <row r="19" spans="1:15" ht="15" customHeight="1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639"/>
      <c r="M19" s="639"/>
      <c r="N19" s="639"/>
      <c r="O19" s="639"/>
    </row>
    <row r="20" spans="1:15" ht="15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639"/>
      <c r="M20" s="639"/>
      <c r="N20" s="639"/>
      <c r="O20" s="639"/>
    </row>
  </sheetData>
  <mergeCells count="18">
    <mergeCell ref="L1:O1"/>
    <mergeCell ref="A2:O2"/>
    <mergeCell ref="A3:O3"/>
    <mergeCell ref="A6:A7"/>
    <mergeCell ref="B6:B7"/>
    <mergeCell ref="C6:E6"/>
    <mergeCell ref="G6:I6"/>
    <mergeCell ref="J6:J7"/>
    <mergeCell ref="K6:K7"/>
    <mergeCell ref="L6:L7"/>
    <mergeCell ref="M6:O6"/>
    <mergeCell ref="J4:N4"/>
    <mergeCell ref="C4:H4"/>
    <mergeCell ref="A5:L5"/>
    <mergeCell ref="M5:O5"/>
    <mergeCell ref="L18:O20"/>
    <mergeCell ref="L17:O17"/>
    <mergeCell ref="A14:B14"/>
  </mergeCells>
  <pageMargins left="0.8" right="0.6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C51"/>
  <sheetViews>
    <sheetView topLeftCell="A19" workbookViewId="0">
      <selection activeCell="B32" sqref="B32"/>
    </sheetView>
  </sheetViews>
  <sheetFormatPr defaultRowHeight="15"/>
  <cols>
    <col min="1" max="1" width="48.85546875" customWidth="1"/>
    <col min="2" max="2" width="20.5703125" customWidth="1"/>
    <col min="3" max="3" width="20.7109375" customWidth="1"/>
  </cols>
  <sheetData>
    <row r="1" spans="1:3" ht="15.75">
      <c r="A1" s="79"/>
      <c r="B1" s="79"/>
      <c r="C1" s="280">
        <f>Master!C3</f>
        <v>30695</v>
      </c>
    </row>
    <row r="2" spans="1:3" ht="19.5" customHeight="1">
      <c r="A2" s="650" t="str">
        <f>CONCATENATE(Master!C2," ",Master!D2)</f>
        <v>iz/kkukpk;Z jktdh; vkn'kZ mPp ek/;fed fo|ky; bdygjk ¼ Mhx ½</v>
      </c>
      <c r="B2" s="650"/>
      <c r="C2" s="650"/>
    </row>
    <row r="3" spans="1:3" ht="16.5" customHeight="1">
      <c r="A3" s="651" t="str">
        <f>CONCATENATE(Master!C1," ",Master!D1)</f>
        <v>Principal Government Adarsh Sr. Secondary School INDERWARA (Pali)</v>
      </c>
      <c r="B3" s="651"/>
      <c r="C3" s="651"/>
    </row>
    <row r="4" spans="1:3" ht="17.25" customHeight="1">
      <c r="A4" s="652" t="s">
        <v>648</v>
      </c>
      <c r="B4" s="653"/>
      <c r="C4" s="653"/>
    </row>
    <row r="5" spans="1:3" ht="18" customHeight="1">
      <c r="A5" s="654" t="str">
        <f>CONCATENATE("BUDGET HEAD : ",VLOOKUP(Master!C5,Master!AI4:AN15,3,FALSE))</f>
        <v>BUDGET HEAD : 2202-GENERAL EDUCATION, 02-SECONDARY EDUCATION, 109-GOVT. SEC. SCHOOL, (01)-BOYS SCHOOL (STATE FUND)</v>
      </c>
      <c r="B5" s="654"/>
      <c r="C5" s="654"/>
    </row>
    <row r="6" spans="1:3" ht="37.5" customHeight="1">
      <c r="A6" s="80" t="s">
        <v>41</v>
      </c>
      <c r="B6" s="81" t="s">
        <v>649</v>
      </c>
      <c r="C6" s="81" t="s">
        <v>650</v>
      </c>
    </row>
    <row r="7" spans="1:3" ht="15.95" customHeight="1">
      <c r="A7" s="82" t="s">
        <v>121</v>
      </c>
      <c r="B7" s="83"/>
      <c r="C7" s="83"/>
    </row>
    <row r="8" spans="1:3" ht="15.95" customHeight="1">
      <c r="A8" s="84" t="s">
        <v>122</v>
      </c>
      <c r="B8" s="85">
        <f>'Formet 8'!M26</f>
        <v>3024400</v>
      </c>
      <c r="C8" s="85">
        <f>'Formet 8'!L26</f>
        <v>3115600</v>
      </c>
    </row>
    <row r="9" spans="1:3" ht="15.95" customHeight="1">
      <c r="A9" s="84" t="s">
        <v>123</v>
      </c>
      <c r="B9" s="85">
        <f>'Formet 8'!M71</f>
        <v>4792000</v>
      </c>
      <c r="C9" s="85">
        <f>'Formet 8'!L71</f>
        <v>4935200</v>
      </c>
    </row>
    <row r="10" spans="1:3" ht="15.95" customHeight="1">
      <c r="A10" s="86" t="s">
        <v>158</v>
      </c>
      <c r="B10" s="87">
        <f>SUM(B8:B9)</f>
        <v>7816400</v>
      </c>
      <c r="C10" s="87">
        <f>SUM(C8:C9)</f>
        <v>8050800</v>
      </c>
    </row>
    <row r="11" spans="1:3" ht="15.95" customHeight="1">
      <c r="A11" s="88" t="s">
        <v>377</v>
      </c>
      <c r="B11" s="89"/>
      <c r="C11" s="89"/>
    </row>
    <row r="12" spans="1:3" ht="15.6" customHeight="1">
      <c r="A12" s="84" t="s">
        <v>124</v>
      </c>
      <c r="B12" s="90">
        <f>'Formet 8'!M74</f>
        <v>937968</v>
      </c>
      <c r="C12" s="90">
        <f>'Formet 8'!L74</f>
        <v>966096</v>
      </c>
    </row>
    <row r="13" spans="1:3" ht="15.6" customHeight="1">
      <c r="A13" s="84" t="s">
        <v>125</v>
      </c>
      <c r="B13" s="90">
        <f>'Formet 8'!M75</f>
        <v>234492</v>
      </c>
      <c r="C13" s="90">
        <f>'Formet 8'!L75</f>
        <v>241524</v>
      </c>
    </row>
    <row r="14" spans="1:3" ht="15.6" customHeight="1">
      <c r="A14" s="84" t="s">
        <v>126</v>
      </c>
      <c r="B14" s="90">
        <f>'Formet 8'!M76</f>
        <v>0</v>
      </c>
      <c r="C14" s="90">
        <f>'Formet 8'!L76</f>
        <v>0</v>
      </c>
    </row>
    <row r="15" spans="1:3" ht="15.6" customHeight="1">
      <c r="A15" s="84" t="s">
        <v>127</v>
      </c>
      <c r="B15" s="90">
        <f>'Formet 8'!M77</f>
        <v>625312</v>
      </c>
      <c r="C15" s="90">
        <f>'Formet 8'!L77</f>
        <v>644064</v>
      </c>
    </row>
    <row r="16" spans="1:3" ht="15.6" customHeight="1">
      <c r="A16" s="84" t="s">
        <v>128</v>
      </c>
      <c r="B16" s="90">
        <f>'Formet 8'!M79</f>
        <v>357672</v>
      </c>
      <c r="C16" s="90">
        <f>'Formet 8'!L79</f>
        <v>368312</v>
      </c>
    </row>
    <row r="17" spans="1:3" ht="15.6" customHeight="1">
      <c r="A17" s="84" t="s">
        <v>129</v>
      </c>
      <c r="B17" s="90">
        <v>0</v>
      </c>
      <c r="C17" s="90">
        <v>0</v>
      </c>
    </row>
    <row r="18" spans="1:3" ht="15.6" customHeight="1">
      <c r="A18" s="84" t="s">
        <v>130</v>
      </c>
      <c r="B18" s="90">
        <f>'Formet 8'!M78</f>
        <v>54192</v>
      </c>
      <c r="C18" s="90">
        <f>'Formet 8'!L78</f>
        <v>54192</v>
      </c>
    </row>
    <row r="19" spans="1:3" ht="15.6" customHeight="1">
      <c r="A19" s="84" t="s">
        <v>131</v>
      </c>
      <c r="B19" s="90">
        <f>'Formet 8'!M105</f>
        <v>346440</v>
      </c>
      <c r="C19" s="90">
        <f>'Formet 8'!L105</f>
        <v>346440</v>
      </c>
    </row>
    <row r="20" spans="1:3" ht="15.6" customHeight="1">
      <c r="A20" s="84" t="s">
        <v>132</v>
      </c>
      <c r="B20" s="90">
        <v>0</v>
      </c>
      <c r="C20" s="90">
        <v>0</v>
      </c>
    </row>
    <row r="21" spans="1:3" ht="15.6" customHeight="1">
      <c r="A21" s="84" t="s">
        <v>133</v>
      </c>
      <c r="B21" s="90">
        <f>'Formet 8'!M80</f>
        <v>0</v>
      </c>
      <c r="C21" s="90">
        <f>'Formet 8'!L80</f>
        <v>0</v>
      </c>
    </row>
    <row r="22" spans="1:3" ht="15.6" customHeight="1">
      <c r="A22" s="84" t="s">
        <v>134</v>
      </c>
      <c r="B22" s="90">
        <f>'Formet 8'!M82</f>
        <v>0</v>
      </c>
      <c r="C22" s="90">
        <f>'Formet 8'!L82</f>
        <v>0</v>
      </c>
    </row>
    <row r="23" spans="1:3" ht="15.6" customHeight="1">
      <c r="A23" s="84" t="s">
        <v>135</v>
      </c>
      <c r="B23" s="90">
        <v>0</v>
      </c>
      <c r="C23" s="90">
        <v>0</v>
      </c>
    </row>
    <row r="24" spans="1:3" ht="15.6" customHeight="1">
      <c r="A24" s="84" t="s">
        <v>136</v>
      </c>
      <c r="B24" s="90">
        <f>'Formet 8'!M81</f>
        <v>0</v>
      </c>
      <c r="C24" s="90">
        <f>'Formet 8'!L81</f>
        <v>0</v>
      </c>
    </row>
    <row r="25" spans="1:3" ht="15.6" customHeight="1">
      <c r="A25" s="84" t="s">
        <v>137</v>
      </c>
      <c r="B25" s="90">
        <v>0</v>
      </c>
      <c r="C25" s="90">
        <v>0</v>
      </c>
    </row>
    <row r="26" spans="1:3" ht="15.95" customHeight="1">
      <c r="A26" s="91" t="s">
        <v>378</v>
      </c>
      <c r="B26" s="92">
        <f>SUM(B12:B25)</f>
        <v>2556076</v>
      </c>
      <c r="C26" s="92">
        <f>SUM(C12:C25)</f>
        <v>2620628</v>
      </c>
    </row>
    <row r="27" spans="1:3" ht="15.95" customHeight="1">
      <c r="A27" s="91" t="s">
        <v>159</v>
      </c>
      <c r="B27" s="92">
        <f>B10+B26</f>
        <v>10372476</v>
      </c>
      <c r="C27" s="92">
        <f>C10+C26</f>
        <v>10671428</v>
      </c>
    </row>
    <row r="28" spans="1:3" ht="15.6" customHeight="1">
      <c r="A28" s="93" t="s">
        <v>138</v>
      </c>
      <c r="B28" s="90">
        <v>0</v>
      </c>
      <c r="C28" s="85">
        <v>0</v>
      </c>
    </row>
    <row r="29" spans="1:3" ht="15.6" customHeight="1">
      <c r="A29" s="93" t="s">
        <v>139</v>
      </c>
      <c r="B29" s="90">
        <f>'Formet 8'!M120</f>
        <v>13000</v>
      </c>
      <c r="C29" s="85">
        <f>'Formet 8'!L120</f>
        <v>0</v>
      </c>
    </row>
    <row r="30" spans="1:3" ht="15.6" customHeight="1">
      <c r="A30" s="93" t="s">
        <v>140</v>
      </c>
      <c r="B30" s="90">
        <f>'Formet 8'!M121</f>
        <v>12000</v>
      </c>
      <c r="C30" s="85">
        <f>'Formet 8'!L121</f>
        <v>0</v>
      </c>
    </row>
    <row r="31" spans="1:3" ht="15.95" customHeight="1">
      <c r="A31" s="91" t="s">
        <v>141</v>
      </c>
      <c r="B31" s="92">
        <v>2564878</v>
      </c>
      <c r="C31" s="92">
        <f>SUM(C27:C30)</f>
        <v>10671428</v>
      </c>
    </row>
    <row r="32" spans="1:3" ht="15.6" customHeight="1">
      <c r="A32" s="93" t="s">
        <v>142</v>
      </c>
      <c r="B32" s="90">
        <f>'Formet 9'!L24</f>
        <v>2500</v>
      </c>
      <c r="C32" s="90">
        <f>'Formet 9'!M24</f>
        <v>2500</v>
      </c>
    </row>
    <row r="33" spans="1:3" ht="15.6" customHeight="1">
      <c r="A33" s="93" t="s">
        <v>143</v>
      </c>
      <c r="B33" s="85">
        <v>0</v>
      </c>
      <c r="C33" s="85">
        <v>0</v>
      </c>
    </row>
    <row r="34" spans="1:3" ht="15.6" customHeight="1">
      <c r="A34" s="93" t="s">
        <v>144</v>
      </c>
      <c r="B34" s="85">
        <v>0</v>
      </c>
      <c r="C34" s="85">
        <v>0</v>
      </c>
    </row>
    <row r="35" spans="1:3" ht="15.6" customHeight="1">
      <c r="A35" s="93" t="s">
        <v>145</v>
      </c>
      <c r="B35" s="85">
        <v>0</v>
      </c>
      <c r="C35" s="85">
        <v>0</v>
      </c>
    </row>
    <row r="36" spans="1:3" ht="15.6" customHeight="1">
      <c r="A36" s="93" t="s">
        <v>146</v>
      </c>
      <c r="B36" s="85">
        <v>0</v>
      </c>
      <c r="C36" s="85">
        <v>0</v>
      </c>
    </row>
    <row r="37" spans="1:3" ht="15.6" customHeight="1">
      <c r="A37" s="93" t="s">
        <v>147</v>
      </c>
      <c r="B37" s="85">
        <v>0</v>
      </c>
      <c r="C37" s="85">
        <v>0</v>
      </c>
    </row>
    <row r="38" spans="1:3" ht="15.6" customHeight="1">
      <c r="A38" s="93" t="s">
        <v>148</v>
      </c>
      <c r="B38" s="85">
        <v>0</v>
      </c>
      <c r="C38" s="85">
        <v>0</v>
      </c>
    </row>
    <row r="39" spans="1:3" ht="15.6" customHeight="1">
      <c r="A39" s="93" t="s">
        <v>149</v>
      </c>
      <c r="B39" s="85">
        <f>'Formet 9'!L25</f>
        <v>0</v>
      </c>
      <c r="C39" s="85">
        <f>'Formet 9'!M25</f>
        <v>0</v>
      </c>
    </row>
    <row r="40" spans="1:3" ht="15.6" customHeight="1">
      <c r="A40" s="93" t="s">
        <v>150</v>
      </c>
      <c r="B40" s="85">
        <f>'Formet 9'!L26</f>
        <v>2000</v>
      </c>
      <c r="C40" s="85">
        <f>'Formet 9'!M26</f>
        <v>2000</v>
      </c>
    </row>
    <row r="41" spans="1:3" ht="15.6" customHeight="1">
      <c r="A41" s="93" t="s">
        <v>151</v>
      </c>
      <c r="B41" s="85">
        <f>'Formet 9'!L27</f>
        <v>0</v>
      </c>
      <c r="C41" s="85">
        <f>'Formet 9'!M27</f>
        <v>0</v>
      </c>
    </row>
    <row r="42" spans="1:3" ht="15.6" customHeight="1">
      <c r="A42" s="93" t="s">
        <v>152</v>
      </c>
      <c r="B42" s="85">
        <f>'Formet 9'!L29</f>
        <v>3300</v>
      </c>
      <c r="C42" s="85">
        <f>'Formet 9'!M29</f>
        <v>3300</v>
      </c>
    </row>
    <row r="43" spans="1:3" ht="15.6" customHeight="1">
      <c r="A43" s="93" t="s">
        <v>153</v>
      </c>
      <c r="B43" s="85">
        <v>0</v>
      </c>
      <c r="C43" s="85">
        <v>0</v>
      </c>
    </row>
    <row r="44" spans="1:3" ht="15.6" customHeight="1">
      <c r="A44" s="93" t="s">
        <v>154</v>
      </c>
      <c r="B44" s="85">
        <f>'Formet 9'!L28</f>
        <v>0</v>
      </c>
      <c r="C44" s="85">
        <f>'Formet 9'!M28</f>
        <v>0</v>
      </c>
    </row>
    <row r="45" spans="1:3" ht="15.95" customHeight="1">
      <c r="A45" s="94" t="s">
        <v>155</v>
      </c>
      <c r="B45" s="95">
        <f>SUM(B32:B44)</f>
        <v>7800</v>
      </c>
      <c r="C45" s="95">
        <f>SUM(C32:C44)</f>
        <v>7800</v>
      </c>
    </row>
    <row r="46" spans="1:3" ht="15.95" customHeight="1">
      <c r="A46" s="94" t="s">
        <v>156</v>
      </c>
      <c r="B46" s="95">
        <f>B31</f>
        <v>2564878</v>
      </c>
      <c r="C46" s="95">
        <f>C31</f>
        <v>10671428</v>
      </c>
    </row>
    <row r="47" spans="1:3" ht="15.95" customHeight="1">
      <c r="A47" s="91" t="s">
        <v>157</v>
      </c>
      <c r="B47" s="92">
        <f>SUM(B45:B46)</f>
        <v>2572678</v>
      </c>
      <c r="C47" s="92">
        <f>SUM(C45:C46)</f>
        <v>10679228</v>
      </c>
    </row>
    <row r="48" spans="1:3">
      <c r="A48" s="79"/>
      <c r="B48" s="79"/>
      <c r="C48" s="79"/>
    </row>
    <row r="49" spans="1:3" ht="18.75">
      <c r="A49" s="79"/>
      <c r="B49" s="655" t="str">
        <f>Master!C2</f>
        <v>iz/kkukpk;Z</v>
      </c>
      <c r="C49" s="655"/>
    </row>
    <row r="50" spans="1:3" ht="18.75" customHeight="1">
      <c r="A50" s="79"/>
      <c r="B50" s="649" t="str">
        <f>Master!D2</f>
        <v>jktdh; vkn'kZ mPp ek/;fed fo|ky; bdygjk ¼ Mhx ½</v>
      </c>
      <c r="C50" s="649"/>
    </row>
    <row r="51" spans="1:3" ht="18.75" customHeight="1">
      <c r="A51" s="79"/>
      <c r="B51" s="649"/>
      <c r="C51" s="649"/>
    </row>
  </sheetData>
  <mergeCells count="6">
    <mergeCell ref="B50:C51"/>
    <mergeCell ref="A2:C2"/>
    <mergeCell ref="A3:C3"/>
    <mergeCell ref="A4:C4"/>
    <mergeCell ref="A5:C5"/>
    <mergeCell ref="B49:C49"/>
  </mergeCells>
  <pageMargins left="0.7" right="0.45" top="0.25" bottom="0.2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Y55"/>
  <sheetViews>
    <sheetView workbookViewId="0">
      <selection activeCell="Y13" sqref="Y13"/>
    </sheetView>
  </sheetViews>
  <sheetFormatPr defaultRowHeight="15"/>
  <cols>
    <col min="1" max="1" width="7.85546875" style="241" customWidth="1"/>
    <col min="2" max="2" width="6" style="241" customWidth="1"/>
    <col min="3" max="23" width="6.28515625" style="241" customWidth="1"/>
    <col min="24" max="16384" width="9.140625" style="241"/>
  </cols>
  <sheetData>
    <row r="1" spans="1:23" ht="18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659">
        <f>Summary!$C$1</f>
        <v>30695</v>
      </c>
      <c r="T1" s="659"/>
      <c r="U1" s="659"/>
      <c r="V1" s="659"/>
      <c r="W1" s="659"/>
    </row>
    <row r="2" spans="1:23" ht="32.25" customHeight="1">
      <c r="A2" s="660" t="str">
        <f>Summary!A2</f>
        <v>iz/kkukpk;Z jktdh; vkn'kZ mPp ek/;fed fo|ky; bdygjk ¼ Mhx ½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</row>
    <row r="3" spans="1:23" ht="24" customHeight="1">
      <c r="A3" s="246"/>
      <c r="B3" s="246"/>
      <c r="C3" s="246"/>
      <c r="D3" s="246"/>
      <c r="E3" s="246"/>
      <c r="F3" s="246"/>
      <c r="G3" s="246"/>
      <c r="H3" s="246"/>
      <c r="I3" s="246"/>
      <c r="J3" s="657" t="s">
        <v>379</v>
      </c>
      <c r="K3" s="657"/>
      <c r="L3" s="657"/>
      <c r="M3" s="657"/>
      <c r="N3" s="657"/>
      <c r="O3" s="246"/>
      <c r="P3" s="246"/>
      <c r="Q3" s="246"/>
      <c r="R3" s="246"/>
      <c r="S3" s="246"/>
      <c r="T3" s="246"/>
      <c r="U3" s="246"/>
      <c r="V3" s="246"/>
      <c r="W3" s="246"/>
    </row>
    <row r="4" spans="1:23" ht="10.5" customHeight="1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</row>
    <row r="5" spans="1:23" s="242" customFormat="1" ht="36.75" customHeight="1">
      <c r="A5" s="661" t="s">
        <v>347</v>
      </c>
      <c r="B5" s="661" t="s">
        <v>348</v>
      </c>
      <c r="C5" s="658" t="s">
        <v>349</v>
      </c>
      <c r="D5" s="658"/>
      <c r="E5" s="658"/>
      <c r="F5" s="658" t="s">
        <v>350</v>
      </c>
      <c r="G5" s="658"/>
      <c r="H5" s="658"/>
      <c r="I5" s="658" t="s">
        <v>351</v>
      </c>
      <c r="J5" s="658"/>
      <c r="K5" s="658"/>
      <c r="L5" s="658" t="s">
        <v>352</v>
      </c>
      <c r="M5" s="658"/>
      <c r="N5" s="658"/>
      <c r="O5" s="658" t="s">
        <v>353</v>
      </c>
      <c r="P5" s="658"/>
      <c r="Q5" s="658"/>
      <c r="R5" s="658" t="s">
        <v>354</v>
      </c>
      <c r="S5" s="658"/>
      <c r="T5" s="658"/>
      <c r="U5" s="658" t="s">
        <v>355</v>
      </c>
      <c r="V5" s="658"/>
      <c r="W5" s="658"/>
    </row>
    <row r="6" spans="1:23" s="242" customFormat="1" ht="29.25" customHeight="1">
      <c r="A6" s="661"/>
      <c r="B6" s="661"/>
      <c r="C6" s="227" t="s">
        <v>356</v>
      </c>
      <c r="D6" s="227" t="s">
        <v>357</v>
      </c>
      <c r="E6" s="227" t="s">
        <v>358</v>
      </c>
      <c r="F6" s="227" t="s">
        <v>356</v>
      </c>
      <c r="G6" s="227" t="s">
        <v>357</v>
      </c>
      <c r="H6" s="227" t="s">
        <v>358</v>
      </c>
      <c r="I6" s="227" t="s">
        <v>356</v>
      </c>
      <c r="J6" s="227" t="s">
        <v>357</v>
      </c>
      <c r="K6" s="227" t="s">
        <v>358</v>
      </c>
      <c r="L6" s="227" t="s">
        <v>356</v>
      </c>
      <c r="M6" s="227" t="s">
        <v>357</v>
      </c>
      <c r="N6" s="227" t="s">
        <v>358</v>
      </c>
      <c r="O6" s="227" t="s">
        <v>356</v>
      </c>
      <c r="P6" s="227" t="s">
        <v>357</v>
      </c>
      <c r="Q6" s="227" t="s">
        <v>358</v>
      </c>
      <c r="R6" s="227" t="s">
        <v>356</v>
      </c>
      <c r="S6" s="227" t="s">
        <v>357</v>
      </c>
      <c r="T6" s="227" t="s">
        <v>358</v>
      </c>
      <c r="U6" s="227" t="s">
        <v>356</v>
      </c>
      <c r="V6" s="227" t="s">
        <v>357</v>
      </c>
      <c r="W6" s="227" t="s">
        <v>358</v>
      </c>
    </row>
    <row r="7" spans="1:23" ht="21" customHeight="1">
      <c r="A7" s="245">
        <v>1</v>
      </c>
      <c r="B7" s="245" t="s">
        <v>359</v>
      </c>
      <c r="C7" s="281">
        <v>0</v>
      </c>
      <c r="D7" s="281">
        <v>1</v>
      </c>
      <c r="E7" s="281">
        <v>1</v>
      </c>
      <c r="F7" s="281">
        <v>0</v>
      </c>
      <c r="G7" s="281">
        <v>0</v>
      </c>
      <c r="H7" s="281">
        <v>0</v>
      </c>
      <c r="I7" s="281">
        <v>2</v>
      </c>
      <c r="J7" s="281">
        <v>1</v>
      </c>
      <c r="K7" s="281">
        <v>3</v>
      </c>
      <c r="L7" s="281">
        <v>4</v>
      </c>
      <c r="M7" s="281">
        <v>8</v>
      </c>
      <c r="N7" s="281">
        <v>12</v>
      </c>
      <c r="O7" s="281">
        <v>0</v>
      </c>
      <c r="P7" s="281">
        <v>2</v>
      </c>
      <c r="Q7" s="281">
        <v>2</v>
      </c>
      <c r="R7" s="282">
        <v>6</v>
      </c>
      <c r="S7" s="282">
        <v>12</v>
      </c>
      <c r="T7" s="282">
        <v>18</v>
      </c>
      <c r="U7" s="281">
        <v>0</v>
      </c>
      <c r="V7" s="281">
        <v>0</v>
      </c>
      <c r="W7" s="281">
        <v>0</v>
      </c>
    </row>
    <row r="8" spans="1:23" ht="21" customHeight="1">
      <c r="A8" s="245">
        <v>2</v>
      </c>
      <c r="B8" s="245" t="s">
        <v>360</v>
      </c>
      <c r="C8" s="281">
        <v>0</v>
      </c>
      <c r="D8" s="281">
        <v>0</v>
      </c>
      <c r="E8" s="281">
        <v>0</v>
      </c>
      <c r="F8" s="281">
        <v>0</v>
      </c>
      <c r="G8" s="281">
        <v>0</v>
      </c>
      <c r="H8" s="281">
        <v>0</v>
      </c>
      <c r="I8" s="281">
        <v>2</v>
      </c>
      <c r="J8" s="281">
        <v>1</v>
      </c>
      <c r="K8" s="281">
        <v>3</v>
      </c>
      <c r="L8" s="281">
        <v>5</v>
      </c>
      <c r="M8" s="281">
        <v>4</v>
      </c>
      <c r="N8" s="281">
        <v>9</v>
      </c>
      <c r="O8" s="281">
        <v>0</v>
      </c>
      <c r="P8" s="281">
        <v>0</v>
      </c>
      <c r="Q8" s="281">
        <v>0</v>
      </c>
      <c r="R8" s="282">
        <v>7</v>
      </c>
      <c r="S8" s="282">
        <v>5</v>
      </c>
      <c r="T8" s="282">
        <v>12</v>
      </c>
      <c r="U8" s="281">
        <v>1</v>
      </c>
      <c r="V8" s="281">
        <v>0</v>
      </c>
      <c r="W8" s="281">
        <v>1</v>
      </c>
    </row>
    <row r="9" spans="1:23" ht="21" customHeight="1">
      <c r="A9" s="245">
        <v>3</v>
      </c>
      <c r="B9" s="245" t="s">
        <v>361</v>
      </c>
      <c r="C9" s="281">
        <v>0</v>
      </c>
      <c r="D9" s="281">
        <v>0</v>
      </c>
      <c r="E9" s="281">
        <v>0</v>
      </c>
      <c r="F9" s="281">
        <v>0</v>
      </c>
      <c r="G9" s="281">
        <v>0</v>
      </c>
      <c r="H9" s="281">
        <v>0</v>
      </c>
      <c r="I9" s="281">
        <v>5</v>
      </c>
      <c r="J9" s="281">
        <v>0</v>
      </c>
      <c r="K9" s="281">
        <v>5</v>
      </c>
      <c r="L9" s="281">
        <v>3</v>
      </c>
      <c r="M9" s="281">
        <v>6</v>
      </c>
      <c r="N9" s="281">
        <v>9</v>
      </c>
      <c r="O9" s="281">
        <v>0</v>
      </c>
      <c r="P9" s="281">
        <v>0</v>
      </c>
      <c r="Q9" s="281">
        <v>0</v>
      </c>
      <c r="R9" s="282">
        <v>8</v>
      </c>
      <c r="S9" s="282">
        <v>6</v>
      </c>
      <c r="T9" s="282">
        <v>14</v>
      </c>
      <c r="U9" s="281">
        <v>1</v>
      </c>
      <c r="V9" s="281">
        <v>0</v>
      </c>
      <c r="W9" s="281">
        <v>1</v>
      </c>
    </row>
    <row r="10" spans="1:23" ht="21" customHeight="1">
      <c r="A10" s="245">
        <v>4</v>
      </c>
      <c r="B10" s="245" t="s">
        <v>362</v>
      </c>
      <c r="C10" s="281">
        <v>1</v>
      </c>
      <c r="D10" s="281">
        <v>0</v>
      </c>
      <c r="E10" s="281">
        <v>1</v>
      </c>
      <c r="F10" s="281">
        <v>0</v>
      </c>
      <c r="G10" s="281">
        <v>0</v>
      </c>
      <c r="H10" s="281">
        <v>0</v>
      </c>
      <c r="I10" s="281">
        <v>1</v>
      </c>
      <c r="J10" s="281">
        <v>1</v>
      </c>
      <c r="K10" s="281">
        <v>2</v>
      </c>
      <c r="L10" s="281">
        <v>2</v>
      </c>
      <c r="M10" s="281">
        <v>8</v>
      </c>
      <c r="N10" s="281">
        <v>10</v>
      </c>
      <c r="O10" s="281">
        <v>0</v>
      </c>
      <c r="P10" s="281">
        <v>0</v>
      </c>
      <c r="Q10" s="281">
        <v>0</v>
      </c>
      <c r="R10" s="282">
        <v>4</v>
      </c>
      <c r="S10" s="282">
        <v>9</v>
      </c>
      <c r="T10" s="282">
        <v>13</v>
      </c>
      <c r="U10" s="281">
        <v>0</v>
      </c>
      <c r="V10" s="281">
        <v>2</v>
      </c>
      <c r="W10" s="281">
        <v>2</v>
      </c>
    </row>
    <row r="11" spans="1:23" ht="21" customHeight="1">
      <c r="A11" s="245">
        <v>5</v>
      </c>
      <c r="B11" s="245" t="s">
        <v>363</v>
      </c>
      <c r="C11" s="281">
        <v>0</v>
      </c>
      <c r="D11" s="281">
        <v>1</v>
      </c>
      <c r="E11" s="281">
        <v>1</v>
      </c>
      <c r="F11" s="281">
        <v>0</v>
      </c>
      <c r="G11" s="281">
        <v>0</v>
      </c>
      <c r="H11" s="281">
        <v>0</v>
      </c>
      <c r="I11" s="281">
        <v>3</v>
      </c>
      <c r="J11" s="281">
        <v>1</v>
      </c>
      <c r="K11" s="281">
        <v>4</v>
      </c>
      <c r="L11" s="281">
        <v>12</v>
      </c>
      <c r="M11" s="281">
        <v>7</v>
      </c>
      <c r="N11" s="281">
        <v>19</v>
      </c>
      <c r="O11" s="281">
        <v>0</v>
      </c>
      <c r="P11" s="281">
        <v>0</v>
      </c>
      <c r="Q11" s="281">
        <v>0</v>
      </c>
      <c r="R11" s="282">
        <v>15</v>
      </c>
      <c r="S11" s="282">
        <v>9</v>
      </c>
      <c r="T11" s="282">
        <v>24</v>
      </c>
      <c r="U11" s="281">
        <v>0</v>
      </c>
      <c r="V11" s="281">
        <v>1</v>
      </c>
      <c r="W11" s="281">
        <v>1</v>
      </c>
    </row>
    <row r="12" spans="1:23" ht="21" customHeight="1">
      <c r="A12" s="245">
        <v>6</v>
      </c>
      <c r="B12" s="245" t="s">
        <v>364</v>
      </c>
      <c r="C12" s="281">
        <v>0</v>
      </c>
      <c r="D12" s="281">
        <v>0</v>
      </c>
      <c r="E12" s="281">
        <v>0</v>
      </c>
      <c r="F12" s="281">
        <v>0</v>
      </c>
      <c r="G12" s="281">
        <v>0</v>
      </c>
      <c r="H12" s="281">
        <v>0</v>
      </c>
      <c r="I12" s="281">
        <v>3</v>
      </c>
      <c r="J12" s="281">
        <v>2</v>
      </c>
      <c r="K12" s="281">
        <v>5</v>
      </c>
      <c r="L12" s="281">
        <v>17</v>
      </c>
      <c r="M12" s="281">
        <v>5</v>
      </c>
      <c r="N12" s="281">
        <v>22</v>
      </c>
      <c r="O12" s="281">
        <v>0</v>
      </c>
      <c r="P12" s="281">
        <v>0</v>
      </c>
      <c r="Q12" s="281">
        <v>0</v>
      </c>
      <c r="R12" s="282">
        <v>20</v>
      </c>
      <c r="S12" s="282">
        <v>7</v>
      </c>
      <c r="T12" s="282">
        <v>27</v>
      </c>
      <c r="U12" s="281">
        <v>2</v>
      </c>
      <c r="V12" s="281">
        <v>0</v>
      </c>
      <c r="W12" s="281">
        <v>2</v>
      </c>
    </row>
    <row r="13" spans="1:23" ht="21" customHeight="1">
      <c r="A13" s="245">
        <v>7</v>
      </c>
      <c r="B13" s="245" t="s">
        <v>365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3</v>
      </c>
      <c r="J13" s="281">
        <v>0</v>
      </c>
      <c r="K13" s="281">
        <v>3</v>
      </c>
      <c r="L13" s="281">
        <v>15</v>
      </c>
      <c r="M13" s="281">
        <v>14</v>
      </c>
      <c r="N13" s="281">
        <v>29</v>
      </c>
      <c r="O13" s="281">
        <v>0</v>
      </c>
      <c r="P13" s="281">
        <v>0</v>
      </c>
      <c r="Q13" s="281">
        <v>0</v>
      </c>
      <c r="R13" s="282">
        <v>18</v>
      </c>
      <c r="S13" s="282">
        <v>14</v>
      </c>
      <c r="T13" s="282">
        <v>32</v>
      </c>
      <c r="U13" s="281">
        <v>4</v>
      </c>
      <c r="V13" s="281">
        <v>10</v>
      </c>
      <c r="W13" s="281">
        <v>14</v>
      </c>
    </row>
    <row r="14" spans="1:23" ht="21" customHeight="1">
      <c r="A14" s="245">
        <v>8</v>
      </c>
      <c r="B14" s="245" t="s">
        <v>366</v>
      </c>
      <c r="C14" s="281">
        <v>0</v>
      </c>
      <c r="D14" s="281">
        <v>0</v>
      </c>
      <c r="E14" s="281">
        <v>0</v>
      </c>
      <c r="F14" s="281">
        <v>0</v>
      </c>
      <c r="G14" s="281">
        <v>0</v>
      </c>
      <c r="H14" s="281">
        <v>0</v>
      </c>
      <c r="I14" s="281">
        <v>2</v>
      </c>
      <c r="J14" s="281">
        <v>3</v>
      </c>
      <c r="K14" s="281">
        <v>5</v>
      </c>
      <c r="L14" s="281">
        <v>18</v>
      </c>
      <c r="M14" s="281">
        <v>19</v>
      </c>
      <c r="N14" s="281">
        <v>37</v>
      </c>
      <c r="O14" s="281">
        <v>0</v>
      </c>
      <c r="P14" s="281">
        <v>1</v>
      </c>
      <c r="Q14" s="281">
        <v>1</v>
      </c>
      <c r="R14" s="282">
        <v>20</v>
      </c>
      <c r="S14" s="282">
        <v>23</v>
      </c>
      <c r="T14" s="282">
        <v>43</v>
      </c>
      <c r="U14" s="281">
        <v>0</v>
      </c>
      <c r="V14" s="281">
        <v>0</v>
      </c>
      <c r="W14" s="281">
        <v>0</v>
      </c>
    </row>
    <row r="15" spans="1:23" ht="21" customHeight="1">
      <c r="A15" s="245">
        <v>9</v>
      </c>
      <c r="B15" s="245" t="s">
        <v>367</v>
      </c>
      <c r="C15" s="281">
        <v>0</v>
      </c>
      <c r="D15" s="281">
        <v>0</v>
      </c>
      <c r="E15" s="281">
        <v>0</v>
      </c>
      <c r="F15" s="281">
        <v>0</v>
      </c>
      <c r="G15" s="281">
        <v>0</v>
      </c>
      <c r="H15" s="281">
        <v>0</v>
      </c>
      <c r="I15" s="281">
        <v>4</v>
      </c>
      <c r="J15" s="281">
        <v>2</v>
      </c>
      <c r="K15" s="281">
        <v>6</v>
      </c>
      <c r="L15" s="281">
        <v>93</v>
      </c>
      <c r="M15" s="281">
        <v>74</v>
      </c>
      <c r="N15" s="281">
        <v>167</v>
      </c>
      <c r="O15" s="281">
        <v>0</v>
      </c>
      <c r="P15" s="281">
        <v>3</v>
      </c>
      <c r="Q15" s="281">
        <v>3</v>
      </c>
      <c r="R15" s="282">
        <v>97</v>
      </c>
      <c r="S15" s="282">
        <v>79</v>
      </c>
      <c r="T15" s="282">
        <v>176</v>
      </c>
      <c r="U15" s="281">
        <v>8</v>
      </c>
      <c r="V15" s="281">
        <v>8</v>
      </c>
      <c r="W15" s="281">
        <v>16</v>
      </c>
    </row>
    <row r="16" spans="1:23" ht="21" customHeight="1">
      <c r="A16" s="245">
        <v>10</v>
      </c>
      <c r="B16" s="245" t="s">
        <v>368</v>
      </c>
      <c r="C16" s="281">
        <v>0</v>
      </c>
      <c r="D16" s="281">
        <v>0</v>
      </c>
      <c r="E16" s="281">
        <v>0</v>
      </c>
      <c r="F16" s="281">
        <v>0</v>
      </c>
      <c r="G16" s="281">
        <v>0</v>
      </c>
      <c r="H16" s="281">
        <v>0</v>
      </c>
      <c r="I16" s="281">
        <v>6</v>
      </c>
      <c r="J16" s="281">
        <v>1</v>
      </c>
      <c r="K16" s="281">
        <v>7</v>
      </c>
      <c r="L16" s="281">
        <v>65</v>
      </c>
      <c r="M16" s="281">
        <v>42</v>
      </c>
      <c r="N16" s="281">
        <v>107</v>
      </c>
      <c r="O16" s="281">
        <v>2</v>
      </c>
      <c r="P16" s="281">
        <v>0</v>
      </c>
      <c r="Q16" s="281">
        <v>2</v>
      </c>
      <c r="R16" s="282">
        <v>73</v>
      </c>
      <c r="S16" s="282">
        <v>43</v>
      </c>
      <c r="T16" s="282">
        <v>116</v>
      </c>
      <c r="U16" s="281">
        <v>10</v>
      </c>
      <c r="V16" s="281">
        <v>12</v>
      </c>
      <c r="W16" s="281">
        <v>22</v>
      </c>
    </row>
    <row r="17" spans="1:23" ht="21" customHeight="1">
      <c r="A17" s="245">
        <v>11</v>
      </c>
      <c r="B17" s="245" t="s">
        <v>369</v>
      </c>
      <c r="C17" s="281">
        <v>0</v>
      </c>
      <c r="D17" s="281">
        <v>0</v>
      </c>
      <c r="E17" s="281">
        <v>0</v>
      </c>
      <c r="F17" s="281">
        <v>0</v>
      </c>
      <c r="G17" s="281">
        <v>0</v>
      </c>
      <c r="H17" s="281">
        <v>0</v>
      </c>
      <c r="I17" s="281">
        <v>2</v>
      </c>
      <c r="J17" s="281">
        <v>3</v>
      </c>
      <c r="K17" s="281">
        <v>5</v>
      </c>
      <c r="L17" s="281">
        <v>32</v>
      </c>
      <c r="M17" s="281">
        <v>36</v>
      </c>
      <c r="N17" s="281">
        <v>68</v>
      </c>
      <c r="O17" s="281">
        <v>1</v>
      </c>
      <c r="P17" s="281">
        <v>1</v>
      </c>
      <c r="Q17" s="281">
        <v>2</v>
      </c>
      <c r="R17" s="282">
        <v>35</v>
      </c>
      <c r="S17" s="282">
        <v>40</v>
      </c>
      <c r="T17" s="282">
        <v>75</v>
      </c>
      <c r="U17" s="281">
        <v>6</v>
      </c>
      <c r="V17" s="281">
        <v>6</v>
      </c>
      <c r="W17" s="281">
        <v>12</v>
      </c>
    </row>
    <row r="18" spans="1:23" ht="21" customHeight="1">
      <c r="A18" s="245">
        <v>12</v>
      </c>
      <c r="B18" s="245" t="s">
        <v>370</v>
      </c>
      <c r="C18" s="281">
        <v>0</v>
      </c>
      <c r="D18" s="281">
        <v>0</v>
      </c>
      <c r="E18" s="281">
        <v>0</v>
      </c>
      <c r="F18" s="281">
        <v>0</v>
      </c>
      <c r="G18" s="281">
        <v>1</v>
      </c>
      <c r="H18" s="281">
        <v>1</v>
      </c>
      <c r="I18" s="281">
        <v>0</v>
      </c>
      <c r="J18" s="281">
        <v>1</v>
      </c>
      <c r="K18" s="281">
        <v>1</v>
      </c>
      <c r="L18" s="281">
        <v>16</v>
      </c>
      <c r="M18" s="281">
        <v>19</v>
      </c>
      <c r="N18" s="281">
        <v>35</v>
      </c>
      <c r="O18" s="281">
        <v>0</v>
      </c>
      <c r="P18" s="281">
        <v>0</v>
      </c>
      <c r="Q18" s="281">
        <v>0</v>
      </c>
      <c r="R18" s="282">
        <v>16</v>
      </c>
      <c r="S18" s="282">
        <v>21</v>
      </c>
      <c r="T18" s="282">
        <v>37</v>
      </c>
      <c r="U18" s="281">
        <v>1</v>
      </c>
      <c r="V18" s="281">
        <v>0</v>
      </c>
      <c r="W18" s="281">
        <v>1</v>
      </c>
    </row>
    <row r="19" spans="1:23" s="243" customFormat="1" ht="15.75">
      <c r="A19" s="283" t="s">
        <v>94</v>
      </c>
      <c r="B19" s="52"/>
      <c r="C19" s="282">
        <v>1</v>
      </c>
      <c r="D19" s="282">
        <v>2</v>
      </c>
      <c r="E19" s="282">
        <v>3</v>
      </c>
      <c r="F19" s="282">
        <v>0</v>
      </c>
      <c r="G19" s="282">
        <v>1</v>
      </c>
      <c r="H19" s="282">
        <v>1</v>
      </c>
      <c r="I19" s="282">
        <v>33</v>
      </c>
      <c r="J19" s="282">
        <v>16</v>
      </c>
      <c r="K19" s="282">
        <v>49</v>
      </c>
      <c r="L19" s="282">
        <v>282</v>
      </c>
      <c r="M19" s="282">
        <v>242</v>
      </c>
      <c r="N19" s="282">
        <v>524</v>
      </c>
      <c r="O19" s="282">
        <v>3</v>
      </c>
      <c r="P19" s="282">
        <v>7</v>
      </c>
      <c r="Q19" s="282">
        <v>10</v>
      </c>
      <c r="R19" s="282">
        <v>319</v>
      </c>
      <c r="S19" s="282">
        <v>268</v>
      </c>
      <c r="T19" s="282">
        <v>587</v>
      </c>
      <c r="U19" s="282">
        <v>33</v>
      </c>
      <c r="V19" s="282">
        <v>39</v>
      </c>
      <c r="W19" s="281">
        <v>72</v>
      </c>
    </row>
    <row r="20" spans="1:23" customFormat="1">
      <c r="A20" s="244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</row>
    <row r="21" spans="1:23" customFormat="1">
      <c r="A21" s="244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</row>
    <row r="22" spans="1:23" customFormat="1" ht="18.75">
      <c r="A22" s="244"/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655" t="str">
        <f>Master!C2</f>
        <v>iz/kkukpk;Z</v>
      </c>
      <c r="S22" s="655"/>
      <c r="T22" s="655"/>
      <c r="U22" s="655"/>
      <c r="V22" s="655"/>
      <c r="W22" s="244"/>
    </row>
    <row r="23" spans="1:23" customFormat="1" ht="15" customHeight="1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656" t="str">
        <f>Master!D2</f>
        <v>jktdh; vkn'kZ mPp ek/;fed fo|ky; bdygjk ¼ Mhx ½</v>
      </c>
      <c r="S23" s="656"/>
      <c r="T23" s="656"/>
      <c r="U23" s="656"/>
      <c r="V23" s="656"/>
      <c r="W23" s="244"/>
    </row>
    <row r="24" spans="1:23" customFormat="1" ht="1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656"/>
      <c r="S24" s="656"/>
      <c r="T24" s="656"/>
      <c r="U24" s="656"/>
      <c r="V24" s="656"/>
      <c r="W24" s="244"/>
    </row>
    <row r="25" spans="1:23" customFormat="1" ht="15" customHeight="1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656"/>
      <c r="S25" s="656"/>
      <c r="T25" s="656"/>
      <c r="U25" s="656"/>
      <c r="V25" s="656"/>
      <c r="W25" s="244"/>
    </row>
    <row r="26" spans="1:23" customFormat="1"/>
    <row r="27" spans="1:23" customFormat="1"/>
    <row r="28" spans="1:23" customFormat="1"/>
    <row r="29" spans="1:23" customFormat="1"/>
    <row r="30" spans="1:23" customFormat="1"/>
    <row r="31" spans="1:23" customFormat="1"/>
    <row r="32" spans="1:23" customFormat="1"/>
    <row r="33" spans="1:25" customFormat="1"/>
    <row r="34" spans="1:25" customFormat="1"/>
    <row r="35" spans="1:25" customFormat="1"/>
    <row r="36" spans="1:25" customFormat="1"/>
    <row r="37" spans="1:25" customFormat="1"/>
    <row r="38" spans="1:25" customFormat="1"/>
    <row r="39" spans="1:25" customFormat="1"/>
    <row r="40" spans="1:25" customFormat="1"/>
    <row r="41" spans="1: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</sheetData>
  <mergeCells count="14">
    <mergeCell ref="R23:V25"/>
    <mergeCell ref="J3:N3"/>
    <mergeCell ref="U5:W5"/>
    <mergeCell ref="S1:W1"/>
    <mergeCell ref="A2:W2"/>
    <mergeCell ref="A5:A6"/>
    <mergeCell ref="B5:B6"/>
    <mergeCell ref="C5:E5"/>
    <mergeCell ref="F5:H5"/>
    <mergeCell ref="I5:K5"/>
    <mergeCell ref="L5:N5"/>
    <mergeCell ref="O5:Q5"/>
    <mergeCell ref="R5:T5"/>
    <mergeCell ref="R22:V22"/>
  </mergeCells>
  <pageMargins left="0.45" right="0.45" top="0.5" bottom="0.5" header="0.3" footer="0.3"/>
  <pageSetup paperSize="9" scale="9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23"/>
  <sheetViews>
    <sheetView workbookViewId="0">
      <selection activeCell="K10" sqref="K10"/>
    </sheetView>
  </sheetViews>
  <sheetFormatPr defaultRowHeight="15"/>
  <cols>
    <col min="1" max="1" width="4.85546875" style="99" customWidth="1"/>
    <col min="2" max="2" width="17.5703125" style="99" customWidth="1"/>
    <col min="3" max="3" width="20.7109375" style="99" customWidth="1"/>
    <col min="4" max="4" width="18.7109375" style="99" customWidth="1"/>
    <col min="5" max="5" width="17.5703125" style="99" customWidth="1"/>
    <col min="6" max="6" width="18.5703125" style="99" customWidth="1"/>
    <col min="7" max="7" width="18.28515625" style="99" customWidth="1"/>
    <col min="8" max="8" width="17.5703125" style="99" customWidth="1"/>
    <col min="9" max="16384" width="9.140625" style="99"/>
  </cols>
  <sheetData>
    <row r="1" spans="1:8" ht="18.75">
      <c r="A1" s="162"/>
      <c r="B1" s="162"/>
      <c r="C1" s="162"/>
      <c r="D1" s="162"/>
      <c r="E1" s="162"/>
      <c r="F1" s="162"/>
      <c r="G1" s="663">
        <f>Summary!$C$1</f>
        <v>30695</v>
      </c>
      <c r="H1" s="663"/>
    </row>
    <row r="2" spans="1:8" ht="23.25">
      <c r="A2" s="664" t="str">
        <f>[1]Summary!A2</f>
        <v>iz/kkukpk;Z jktdh; vkn'kZ mPp ek/;fed fo|ky; jkl ¼ikyh½</v>
      </c>
      <c r="B2" s="664"/>
      <c r="C2" s="664"/>
      <c r="D2" s="664"/>
      <c r="E2" s="664"/>
      <c r="F2" s="664"/>
      <c r="G2" s="664"/>
      <c r="H2" s="664"/>
    </row>
    <row r="3" spans="1:8" ht="27.75">
      <c r="A3" s="665" t="s">
        <v>380</v>
      </c>
      <c r="B3" s="665"/>
      <c r="C3" s="665"/>
      <c r="D3" s="665"/>
      <c r="E3" s="665"/>
      <c r="F3" s="665"/>
      <c r="G3" s="665"/>
      <c r="H3" s="665"/>
    </row>
    <row r="4" spans="1:8">
      <c r="A4" s="662" t="str">
        <f>Summary!A5</f>
        <v>BUDGET HEAD : 2202-GENERAL EDUCATION, 02-SECONDARY EDUCATION, 109-GOVT. SEC. SCHOOL, (01)-BOYS SCHOOL (STATE FUND)</v>
      </c>
      <c r="B4" s="662"/>
      <c r="C4" s="662"/>
      <c r="D4" s="662"/>
      <c r="E4" s="662"/>
      <c r="F4" s="662"/>
      <c r="G4" s="662"/>
      <c r="H4" s="662"/>
    </row>
    <row r="5" spans="1:8" ht="20.25">
      <c r="A5" s="666" t="s">
        <v>381</v>
      </c>
      <c r="B5" s="666"/>
      <c r="C5" s="666"/>
      <c r="D5" s="666"/>
      <c r="E5" s="666"/>
      <c r="F5" s="666"/>
      <c r="G5" s="666"/>
      <c r="H5" s="666"/>
    </row>
    <row r="6" spans="1:8" ht="13.5" customHeight="1">
      <c r="A6" s="295"/>
      <c r="B6" s="295"/>
      <c r="C6" s="295"/>
      <c r="D6" s="295"/>
      <c r="E6" s="295"/>
      <c r="F6" s="295"/>
      <c r="G6" s="295"/>
      <c r="H6" s="295"/>
    </row>
    <row r="7" spans="1:8" s="284" customFormat="1" ht="56.25">
      <c r="A7" s="667" t="s">
        <v>382</v>
      </c>
      <c r="B7" s="667" t="s">
        <v>383</v>
      </c>
      <c r="C7" s="667" t="s">
        <v>384</v>
      </c>
      <c r="D7" s="667" t="s">
        <v>654</v>
      </c>
      <c r="E7" s="667" t="s">
        <v>651</v>
      </c>
      <c r="F7" s="667" t="s">
        <v>652</v>
      </c>
      <c r="G7" s="288" t="s">
        <v>385</v>
      </c>
      <c r="H7" s="518" t="s">
        <v>653</v>
      </c>
    </row>
    <row r="8" spans="1:8" s="284" customFormat="1" ht="18.75">
      <c r="A8" s="667"/>
      <c r="B8" s="667"/>
      <c r="C8" s="667"/>
      <c r="D8" s="667"/>
      <c r="E8" s="667"/>
      <c r="F8" s="667"/>
      <c r="G8" s="288" t="s">
        <v>386</v>
      </c>
      <c r="H8" s="288" t="s">
        <v>387</v>
      </c>
    </row>
    <row r="9" spans="1:8" s="285" customFormat="1" ht="18.75">
      <c r="A9" s="289">
        <v>1</v>
      </c>
      <c r="B9" s="289">
        <v>2</v>
      </c>
      <c r="C9" s="289">
        <v>3</v>
      </c>
      <c r="D9" s="289">
        <v>4</v>
      </c>
      <c r="E9" s="290">
        <v>5</v>
      </c>
      <c r="F9" s="290">
        <v>6</v>
      </c>
      <c r="G9" s="290">
        <v>7</v>
      </c>
      <c r="H9" s="290">
        <v>8</v>
      </c>
    </row>
    <row r="10" spans="1:8" s="286" customFormat="1" ht="87.75" customHeight="1">
      <c r="A10" s="291">
        <v>1</v>
      </c>
      <c r="B10" s="292">
        <f>$G$1</f>
        <v>30695</v>
      </c>
      <c r="C10" s="288" t="str">
        <f>Master!D2</f>
        <v>jktdh; vkn'kZ mPp ek/;fed fo|ky; bdygjk ¼ Mhx ½</v>
      </c>
      <c r="D10" s="293">
        <f>'Formet 9'!G11</f>
        <v>9820000</v>
      </c>
      <c r="E10" s="293">
        <f>'Formet 9'!I11</f>
        <v>3407270</v>
      </c>
      <c r="F10" s="293">
        <f>'Formet 9'!K11</f>
        <v>2301230</v>
      </c>
      <c r="G10" s="293">
        <f>E10+F10</f>
        <v>5708500</v>
      </c>
      <c r="H10" s="293">
        <f>D10-G10</f>
        <v>4111500</v>
      </c>
    </row>
    <row r="11" spans="1:8" ht="18.75">
      <c r="A11" s="294"/>
      <c r="B11" s="294"/>
      <c r="C11" s="294"/>
      <c r="D11" s="294"/>
      <c r="E11" s="162"/>
      <c r="F11" s="162"/>
      <c r="G11" s="162"/>
      <c r="H11" s="162"/>
    </row>
    <row r="12" spans="1:8" ht="18.75">
      <c r="A12" s="294"/>
      <c r="B12" s="294"/>
      <c r="C12" s="294"/>
      <c r="D12" s="294"/>
      <c r="E12" s="162"/>
      <c r="F12" s="162"/>
      <c r="G12" s="162"/>
      <c r="H12" s="162"/>
    </row>
    <row r="13" spans="1:8" ht="18.75">
      <c r="A13" s="294"/>
      <c r="B13" s="294"/>
      <c r="C13" s="294"/>
      <c r="D13" s="294"/>
      <c r="E13" s="162"/>
      <c r="F13" s="162"/>
      <c r="G13" s="587" t="str">
        <f>Master!C2</f>
        <v>iz/kkukpk;Z</v>
      </c>
      <c r="H13" s="587"/>
    </row>
    <row r="14" spans="1:8" ht="18.75">
      <c r="A14" s="294"/>
      <c r="B14" s="294"/>
      <c r="C14" s="294"/>
      <c r="D14" s="294"/>
      <c r="E14" s="162"/>
      <c r="F14" s="162"/>
      <c r="G14" s="588" t="str">
        <f>Master!D2</f>
        <v>jktdh; vkn'kZ mPp ek/;fed fo|ky; bdygjk ¼ Mhx ½</v>
      </c>
      <c r="H14" s="588"/>
    </row>
    <row r="15" spans="1:8" ht="18.75">
      <c r="A15" s="294"/>
      <c r="B15" s="294"/>
      <c r="C15" s="294"/>
      <c r="D15" s="294"/>
      <c r="E15" s="162"/>
      <c r="F15" s="162"/>
      <c r="G15" s="588"/>
      <c r="H15" s="588"/>
    </row>
    <row r="16" spans="1:8" ht="18.75">
      <c r="A16" s="294"/>
      <c r="B16" s="294"/>
      <c r="C16" s="294"/>
      <c r="D16" s="294"/>
      <c r="E16" s="162"/>
      <c r="F16" s="162"/>
      <c r="G16" s="588"/>
      <c r="H16" s="588"/>
    </row>
    <row r="17" spans="1:4" ht="18.75">
      <c r="A17" s="287"/>
      <c r="B17" s="287"/>
      <c r="C17" s="287"/>
      <c r="D17" s="287"/>
    </row>
    <row r="18" spans="1:4" ht="18.75">
      <c r="A18" s="287"/>
      <c r="B18" s="287"/>
      <c r="C18" s="287"/>
      <c r="D18" s="287"/>
    </row>
    <row r="19" spans="1:4" ht="18.75">
      <c r="A19" s="287"/>
      <c r="B19" s="287"/>
      <c r="C19" s="287"/>
      <c r="D19" s="287"/>
    </row>
    <row r="20" spans="1:4" ht="18.75">
      <c r="A20" s="287"/>
      <c r="B20" s="287"/>
      <c r="C20" s="287"/>
      <c r="D20" s="287"/>
    </row>
    <row r="21" spans="1:4" ht="18.75">
      <c r="A21" s="287"/>
      <c r="B21" s="287"/>
      <c r="C21" s="287"/>
      <c r="D21" s="287"/>
    </row>
    <row r="22" spans="1:4" ht="18.75">
      <c r="A22" s="287"/>
      <c r="B22" s="287"/>
      <c r="C22" s="287"/>
      <c r="D22" s="287"/>
    </row>
    <row r="23" spans="1:4" ht="18.75">
      <c r="A23" s="287"/>
      <c r="B23" s="287"/>
      <c r="C23" s="287"/>
      <c r="D23" s="287"/>
    </row>
  </sheetData>
  <mergeCells count="13">
    <mergeCell ref="G13:H13"/>
    <mergeCell ref="G14:H16"/>
    <mergeCell ref="A4:H4"/>
    <mergeCell ref="G1:H1"/>
    <mergeCell ref="A2:H2"/>
    <mergeCell ref="A3:H3"/>
    <mergeCell ref="A5:H5"/>
    <mergeCell ref="A7:A8"/>
    <mergeCell ref="B7:B8"/>
    <mergeCell ref="C7:C8"/>
    <mergeCell ref="D7:D8"/>
    <mergeCell ref="E7:E8"/>
    <mergeCell ref="F7:F8"/>
  </mergeCells>
  <pageMargins left="0.7" right="0.5" top="0.5" bottom="0.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U37"/>
  <sheetViews>
    <sheetView topLeftCell="C4" workbookViewId="0">
      <selection activeCell="Q14" sqref="Q14"/>
    </sheetView>
  </sheetViews>
  <sheetFormatPr defaultRowHeight="15"/>
  <cols>
    <col min="1" max="1" width="6.28515625" customWidth="1"/>
    <col min="2" max="2" width="14.85546875" customWidth="1"/>
    <col min="3" max="3" width="19.28515625" customWidth="1"/>
    <col min="4" max="4" width="19.5703125" customWidth="1"/>
    <col min="5" max="5" width="7.85546875" customWidth="1"/>
    <col min="6" max="6" width="11" customWidth="1"/>
    <col min="7" max="7" width="9.28515625" customWidth="1"/>
    <col min="8" max="8" width="11" customWidth="1"/>
    <col min="9" max="9" width="10.140625" customWidth="1"/>
    <col min="10" max="10" width="6.42578125" customWidth="1"/>
    <col min="11" max="11" width="3.28515625" customWidth="1"/>
    <col min="12" max="12" width="6.140625" customWidth="1"/>
    <col min="13" max="13" width="7" customWidth="1"/>
    <col min="14" max="15" width="9.5703125" customWidth="1"/>
    <col min="18" max="18" width="0" hidden="1" customWidth="1"/>
    <col min="19" max="20" width="9.140625" hidden="1" customWidth="1"/>
    <col min="21" max="21" width="0" hidden="1" customWidth="1"/>
  </cols>
  <sheetData>
    <row r="1" spans="1:21" ht="15.75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679">
        <f>Summary!$C$1</f>
        <v>30695</v>
      </c>
      <c r="N1" s="679"/>
      <c r="O1" s="679"/>
    </row>
    <row r="2" spans="1:21" s="332" customFormat="1" ht="16.5" customHeight="1">
      <c r="A2" s="590" t="str">
        <f>Summary!$A$2</f>
        <v>iz/kkukpk;Z jktdh; vkn'kZ mPp ek/;fed fo|ky; bdygjk ¼ Mhx ½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</row>
    <row r="3" spans="1:21" ht="13.5" customHeight="1">
      <c r="A3" s="680" t="s">
        <v>388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</row>
    <row r="4" spans="1:21" ht="17.25" customHeight="1">
      <c r="A4" s="681" t="s">
        <v>389</v>
      </c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</row>
    <row r="5" spans="1:21">
      <c r="A5" s="670" t="str">
        <f>'Formet 8'!A7</f>
        <v>BUDGET HEAD : 2202-GENERAL EDUCATION, 02-SECONDARY EDUCATION, 109-GOVT. SEC. SCHOOL, (01)-BOYS SCHOOL (STATE FUND)</v>
      </c>
      <c r="B5" s="670"/>
      <c r="C5" s="670"/>
      <c r="D5" s="670"/>
      <c r="E5" s="670"/>
      <c r="F5" s="670"/>
      <c r="G5" s="670"/>
      <c r="H5" s="670"/>
      <c r="I5" s="670"/>
      <c r="J5" s="670"/>
      <c r="K5" s="670"/>
      <c r="L5" s="671" t="s">
        <v>340</v>
      </c>
      <c r="M5" s="671"/>
      <c r="N5" s="671"/>
      <c r="O5" s="671"/>
    </row>
    <row r="6" spans="1:21" ht="34.5" customHeight="1">
      <c r="A6" s="674" t="s">
        <v>382</v>
      </c>
      <c r="B6" s="674" t="s">
        <v>390</v>
      </c>
      <c r="C6" s="674" t="s">
        <v>391</v>
      </c>
      <c r="D6" s="674" t="s">
        <v>392</v>
      </c>
      <c r="E6" s="674" t="s">
        <v>393</v>
      </c>
      <c r="F6" s="674" t="s">
        <v>657</v>
      </c>
      <c r="G6" s="674" t="s">
        <v>655</v>
      </c>
      <c r="H6" s="674" t="s">
        <v>656</v>
      </c>
      <c r="I6" s="674" t="s">
        <v>394</v>
      </c>
      <c r="J6" s="674" t="s">
        <v>395</v>
      </c>
      <c r="K6" s="674"/>
      <c r="L6" s="674"/>
      <c r="M6" s="674"/>
      <c r="N6" s="674" t="s">
        <v>658</v>
      </c>
      <c r="O6" s="674" t="s">
        <v>396</v>
      </c>
    </row>
    <row r="7" spans="1:21" ht="43.5" customHeight="1">
      <c r="A7" s="674"/>
      <c r="B7" s="674"/>
      <c r="C7" s="674"/>
      <c r="D7" s="674"/>
      <c r="E7" s="674"/>
      <c r="F7" s="674"/>
      <c r="G7" s="674"/>
      <c r="H7" s="674"/>
      <c r="I7" s="674"/>
      <c r="J7" s="677" t="s">
        <v>397</v>
      </c>
      <c r="K7" s="678"/>
      <c r="L7" s="677" t="s">
        <v>398</v>
      </c>
      <c r="M7" s="678"/>
      <c r="N7" s="674"/>
      <c r="O7" s="674"/>
    </row>
    <row r="8" spans="1:21" ht="9.75" customHeight="1">
      <c r="A8" s="336">
        <v>1</v>
      </c>
      <c r="B8" s="336">
        <v>1</v>
      </c>
      <c r="C8" s="336">
        <v>2</v>
      </c>
      <c r="D8" s="336">
        <v>3</v>
      </c>
      <c r="E8" s="336">
        <v>4</v>
      </c>
      <c r="F8" s="336">
        <v>5</v>
      </c>
      <c r="G8" s="336">
        <v>6</v>
      </c>
      <c r="H8" s="336">
        <v>7</v>
      </c>
      <c r="I8" s="336">
        <v>8</v>
      </c>
      <c r="J8" s="675">
        <v>9</v>
      </c>
      <c r="K8" s="676"/>
      <c r="L8" s="675">
        <v>10</v>
      </c>
      <c r="M8" s="676"/>
      <c r="N8" s="336">
        <v>11</v>
      </c>
      <c r="O8" s="336">
        <v>12</v>
      </c>
    </row>
    <row r="9" spans="1:21" ht="15" customHeight="1">
      <c r="A9" s="325">
        <f>IF(F9&gt;=1,1,0)</f>
        <v>1</v>
      </c>
      <c r="B9" s="306" t="s">
        <v>399</v>
      </c>
      <c r="C9" s="333" t="str">
        <f>'[1]Data Entry'!C$5</f>
        <v>NON PLAN - BOYS</v>
      </c>
      <c r="D9" s="334" t="s">
        <v>60</v>
      </c>
      <c r="E9" s="326" t="s">
        <v>400</v>
      </c>
      <c r="F9" s="327">
        <f>COUNTIF(Master!C$59:C$108,'Format 1A'!D9)</f>
        <v>1</v>
      </c>
      <c r="G9" s="328" t="s">
        <v>401</v>
      </c>
      <c r="H9" s="328" t="s">
        <v>401</v>
      </c>
      <c r="I9" s="328">
        <f>SUM(F9:H9)</f>
        <v>1</v>
      </c>
      <c r="J9" s="672">
        <f>SUMIF('Formet 8'!F$12:F$103,'Format 1A'!D9,'Formet 8'!BZ$12:BZ$103)</f>
        <v>1</v>
      </c>
      <c r="K9" s="673"/>
      <c r="L9" s="672">
        <f>SUMIF('Formet 8'!F$12:F$103,'Format 1A'!D9,'Formet 8'!BV$12:BV$103)</f>
        <v>0</v>
      </c>
      <c r="M9" s="673"/>
      <c r="N9" s="347">
        <f>I9-(J9+L9)</f>
        <v>0</v>
      </c>
      <c r="O9" s="348"/>
      <c r="R9">
        <f>I9</f>
        <v>1</v>
      </c>
      <c r="S9">
        <f>SUMIF('Formet 8'!F$12:F$103,'Format 1A'!D9,'Formet 8'!BZ$12:BZ$103)</f>
        <v>1</v>
      </c>
      <c r="T9">
        <f>SUMIF('Formet 8'!F$12:F$334,'Format 1A'!D9,'Formet 8'!BV$12:BV$334)</f>
        <v>0</v>
      </c>
      <c r="U9">
        <f>R9-(S9+T9)</f>
        <v>0</v>
      </c>
    </row>
    <row r="10" spans="1:21" ht="15" customHeight="1">
      <c r="A10" s="325">
        <f>IF(F10&gt;=1,1,0)+A9</f>
        <v>1</v>
      </c>
      <c r="B10" s="306" t="s">
        <v>399</v>
      </c>
      <c r="C10" s="333" t="str">
        <f>'[1]Data Entry'!C$5</f>
        <v>NON PLAN - BOYS</v>
      </c>
      <c r="D10" s="334" t="s">
        <v>239</v>
      </c>
      <c r="E10" s="326" t="s">
        <v>402</v>
      </c>
      <c r="F10" s="327">
        <f>COUNTIF(Master!C$59:C$108,'Format 1A'!D10)</f>
        <v>0</v>
      </c>
      <c r="G10" s="328" t="s">
        <v>401</v>
      </c>
      <c r="H10" s="328" t="s">
        <v>401</v>
      </c>
      <c r="I10" s="328">
        <f t="shared" ref="I10:I31" si="0">SUM(F10:H10)</f>
        <v>0</v>
      </c>
      <c r="J10" s="672">
        <f>SUMIF('Formet 8'!F$12:F$103,'Format 1A'!D10,'Formet 8'!BZ$12:BZ$103)</f>
        <v>0</v>
      </c>
      <c r="K10" s="673"/>
      <c r="L10" s="672">
        <f>SUMIF('Formet 8'!F$12:F$103,'Format 1A'!D10,'Formet 8'!BV$12:BV$103)</f>
        <v>0</v>
      </c>
      <c r="M10" s="673"/>
      <c r="N10" s="347">
        <f t="shared" ref="N10:N31" si="1">I10-(J10+L10)</f>
        <v>0</v>
      </c>
      <c r="O10" s="348"/>
      <c r="R10">
        <f t="shared" ref="R10:R31" si="2">I10</f>
        <v>0</v>
      </c>
      <c r="S10">
        <f>SUMIF('Formet 8'!F$12:F$103,'Format 1A'!D10,'Formet 8'!BZ$12:BZ$103)</f>
        <v>0</v>
      </c>
      <c r="T10">
        <f>SUMIF('Formet 8'!F$12:F$334,'Format 1A'!D10,'Formet 8'!BV$12:BV$334)</f>
        <v>0</v>
      </c>
      <c r="U10">
        <f t="shared" ref="U10:U31" si="3">R10-(S10+T10)</f>
        <v>0</v>
      </c>
    </row>
    <row r="11" spans="1:21" ht="15" customHeight="1">
      <c r="A11" s="325">
        <f t="shared" ref="A11:A31" si="4">IF(F11&gt;=1,1,0)+A10</f>
        <v>1</v>
      </c>
      <c r="B11" s="306" t="s">
        <v>399</v>
      </c>
      <c r="C11" s="333" t="str">
        <f>'[1]Data Entry'!C$5</f>
        <v>NON PLAN - BOYS</v>
      </c>
      <c r="D11" s="334" t="s">
        <v>241</v>
      </c>
      <c r="E11" s="326" t="s">
        <v>403</v>
      </c>
      <c r="F11" s="327">
        <f>COUNTIF(Master!C$59:C$108,'Format 1A'!D11)</f>
        <v>0</v>
      </c>
      <c r="G11" s="328" t="s">
        <v>401</v>
      </c>
      <c r="H11" s="328" t="s">
        <v>401</v>
      </c>
      <c r="I11" s="328">
        <f t="shared" si="0"/>
        <v>0</v>
      </c>
      <c r="J11" s="672">
        <f>SUMIF('Formet 8'!F$12:F$103,'Format 1A'!D11,'Formet 8'!BZ$12:BZ$103)</f>
        <v>0</v>
      </c>
      <c r="K11" s="673"/>
      <c r="L11" s="672">
        <f>SUMIF('Formet 8'!F$12:F$103,'Format 1A'!D11,'Formet 8'!BV$12:BV$103)</f>
        <v>0</v>
      </c>
      <c r="M11" s="673"/>
      <c r="N11" s="347">
        <f t="shared" si="1"/>
        <v>0</v>
      </c>
      <c r="O11" s="348"/>
      <c r="R11">
        <f t="shared" si="2"/>
        <v>0</v>
      </c>
      <c r="S11">
        <f>SUMIF('Formet 8'!F$12:F$103,'Format 1A'!D11,'Formet 8'!BZ$12:BZ$103)</f>
        <v>0</v>
      </c>
      <c r="T11">
        <f>SUMIF('Formet 8'!F$12:F$334,'Format 1A'!D11,'Formet 8'!BV$12:BV$334)</f>
        <v>0</v>
      </c>
      <c r="U11">
        <f t="shared" si="3"/>
        <v>0</v>
      </c>
    </row>
    <row r="12" spans="1:21" ht="15" customHeight="1">
      <c r="A12" s="325">
        <f t="shared" si="4"/>
        <v>2</v>
      </c>
      <c r="B12" s="306" t="s">
        <v>399</v>
      </c>
      <c r="C12" s="333" t="str">
        <f>'[1]Data Entry'!C$5</f>
        <v>NON PLAN - BOYS</v>
      </c>
      <c r="D12" s="334" t="s">
        <v>65</v>
      </c>
      <c r="E12" s="326" t="s">
        <v>403</v>
      </c>
      <c r="F12" s="327">
        <f>COUNTIF(Master!C$59:C$108,'Format 1A'!D12)</f>
        <v>4</v>
      </c>
      <c r="G12" s="328" t="s">
        <v>401</v>
      </c>
      <c r="H12" s="328" t="s">
        <v>401</v>
      </c>
      <c r="I12" s="328">
        <f t="shared" si="0"/>
        <v>4</v>
      </c>
      <c r="J12" s="672">
        <f>SUMIF('Formet 8'!F$12:F$103,'Format 1A'!D12,'Formet 8'!BZ$12:BZ$103)</f>
        <v>3</v>
      </c>
      <c r="K12" s="673"/>
      <c r="L12" s="672">
        <f>SUMIF('Formet 8'!F$12:F$103,'Format 1A'!D12,'Formet 8'!BV$12:BV$103)</f>
        <v>1</v>
      </c>
      <c r="M12" s="673"/>
      <c r="N12" s="347">
        <f t="shared" si="1"/>
        <v>0</v>
      </c>
      <c r="O12" s="348"/>
      <c r="R12">
        <f t="shared" si="2"/>
        <v>4</v>
      </c>
      <c r="S12">
        <f>SUMIF('Formet 8'!F$12:F$103,'Format 1A'!D12,'Formet 8'!BZ$12:BZ$103)</f>
        <v>3</v>
      </c>
      <c r="T12">
        <f>SUMIF('Formet 8'!F$12:F$334,'Format 1A'!D12,'Formet 8'!BV$12:BV$334)</f>
        <v>1</v>
      </c>
      <c r="U12">
        <f t="shared" si="3"/>
        <v>0</v>
      </c>
    </row>
    <row r="13" spans="1:21" ht="15" customHeight="1">
      <c r="A13" s="325">
        <f t="shared" si="4"/>
        <v>2</v>
      </c>
      <c r="B13" s="306" t="s">
        <v>399</v>
      </c>
      <c r="C13" s="333" t="str">
        <f>'[1]Data Entry'!C$5</f>
        <v>NON PLAN - BOYS</v>
      </c>
      <c r="D13" s="334" t="s">
        <v>250</v>
      </c>
      <c r="E13" s="326" t="s">
        <v>403</v>
      </c>
      <c r="F13" s="327">
        <f>COUNTIF(Master!C$59:C$108,'Format 1A'!D13)</f>
        <v>0</v>
      </c>
      <c r="G13" s="328" t="s">
        <v>401</v>
      </c>
      <c r="H13" s="328" t="s">
        <v>401</v>
      </c>
      <c r="I13" s="328">
        <f t="shared" si="0"/>
        <v>0</v>
      </c>
      <c r="J13" s="672">
        <f>SUMIF('Formet 8'!F$12:F$103,'Format 1A'!D13,'Formet 8'!BZ$12:BZ$103)</f>
        <v>0</v>
      </c>
      <c r="K13" s="673"/>
      <c r="L13" s="672">
        <f>SUMIF('Formet 8'!F$12:F$103,'Format 1A'!D13,'Formet 8'!BV$12:BV$103)</f>
        <v>0</v>
      </c>
      <c r="M13" s="673"/>
      <c r="N13" s="347">
        <f t="shared" si="1"/>
        <v>0</v>
      </c>
      <c r="O13" s="348"/>
      <c r="R13">
        <f t="shared" si="2"/>
        <v>0</v>
      </c>
      <c r="S13">
        <f>SUMIF('Formet 8'!F$12:F$103,'Format 1A'!D13,'Formet 8'!BZ$12:BZ$103)</f>
        <v>0</v>
      </c>
      <c r="T13">
        <f>SUMIF('Formet 8'!F$12:F$334,'Format 1A'!D13,'Formet 8'!BV$12:BV$334)</f>
        <v>0</v>
      </c>
      <c r="U13">
        <f t="shared" si="3"/>
        <v>0</v>
      </c>
    </row>
    <row r="14" spans="1:21" ht="15" customHeight="1">
      <c r="A14" s="325">
        <f t="shared" si="4"/>
        <v>2</v>
      </c>
      <c r="B14" s="306" t="s">
        <v>399</v>
      </c>
      <c r="C14" s="333" t="str">
        <f>'[1]Data Entry'!C$5</f>
        <v>NON PLAN - BOYS</v>
      </c>
      <c r="D14" s="334" t="s">
        <v>243</v>
      </c>
      <c r="E14" s="326" t="s">
        <v>403</v>
      </c>
      <c r="F14" s="327">
        <f>COUNTIF(Master!C$59:C$108,'Format 1A'!D14)</f>
        <v>0</v>
      </c>
      <c r="G14" s="328" t="s">
        <v>401</v>
      </c>
      <c r="H14" s="328" t="s">
        <v>401</v>
      </c>
      <c r="I14" s="328">
        <f t="shared" si="0"/>
        <v>0</v>
      </c>
      <c r="J14" s="672">
        <f>SUMIF('Formet 8'!F$12:F$103,'Format 1A'!D14,'Formet 8'!BZ$12:BZ$103)</f>
        <v>0</v>
      </c>
      <c r="K14" s="673"/>
      <c r="L14" s="672">
        <f>SUMIF('Formet 8'!F$12:F$103,'Format 1A'!D14,'Formet 8'!BV$12:BV$103)</f>
        <v>0</v>
      </c>
      <c r="M14" s="673"/>
      <c r="N14" s="347">
        <f t="shared" si="1"/>
        <v>0</v>
      </c>
      <c r="O14" s="348"/>
      <c r="R14">
        <f t="shared" si="2"/>
        <v>0</v>
      </c>
      <c r="S14">
        <f>SUMIF('Formet 8'!F$12:F$103,'Format 1A'!D14,'Formet 8'!BZ$12:BZ$103)</f>
        <v>0</v>
      </c>
      <c r="T14">
        <f>SUMIF('Formet 8'!F$12:F$334,'Format 1A'!D14,'Formet 8'!BV$12:BV$334)</f>
        <v>0</v>
      </c>
      <c r="U14">
        <f t="shared" si="3"/>
        <v>0</v>
      </c>
    </row>
    <row r="15" spans="1:21" ht="15" customHeight="1">
      <c r="A15" s="325">
        <f t="shared" si="4"/>
        <v>2</v>
      </c>
      <c r="B15" s="306" t="s">
        <v>399</v>
      </c>
      <c r="C15" s="333" t="str">
        <f>'[1]Data Entry'!C$5</f>
        <v>NON PLAN - BOYS</v>
      </c>
      <c r="D15" s="334" t="s">
        <v>245</v>
      </c>
      <c r="E15" s="326" t="s">
        <v>403</v>
      </c>
      <c r="F15" s="327">
        <f>COUNTIF(Master!C$59:C$108,'Format 1A'!D15)</f>
        <v>0</v>
      </c>
      <c r="G15" s="328" t="s">
        <v>401</v>
      </c>
      <c r="H15" s="328" t="s">
        <v>401</v>
      </c>
      <c r="I15" s="328">
        <f t="shared" si="0"/>
        <v>0</v>
      </c>
      <c r="J15" s="672">
        <f>SUMIF('Formet 8'!F$12:F$103,'Format 1A'!D15,'Formet 8'!BZ$12:BZ$103)</f>
        <v>0</v>
      </c>
      <c r="K15" s="673"/>
      <c r="L15" s="672">
        <f>SUMIF('Formet 8'!F$12:F$103,'Format 1A'!D15,'Formet 8'!BV$12:BV$103)</f>
        <v>0</v>
      </c>
      <c r="M15" s="673"/>
      <c r="N15" s="347">
        <f t="shared" si="1"/>
        <v>0</v>
      </c>
      <c r="O15" s="348"/>
      <c r="R15">
        <f t="shared" si="2"/>
        <v>0</v>
      </c>
      <c r="S15">
        <f>SUMIF('Formet 8'!F$12:F$103,'Format 1A'!D15,'Formet 8'!BZ$12:BZ$103)</f>
        <v>0</v>
      </c>
      <c r="T15">
        <f>SUMIF('Formet 8'!F$12:F$334,'Format 1A'!D15,'Formet 8'!BV$12:BV$334)</f>
        <v>0</v>
      </c>
      <c r="U15">
        <f t="shared" si="3"/>
        <v>0</v>
      </c>
    </row>
    <row r="16" spans="1:21" ht="15" customHeight="1">
      <c r="A16" s="325">
        <f t="shared" si="4"/>
        <v>2</v>
      </c>
      <c r="B16" s="306" t="s">
        <v>399</v>
      </c>
      <c r="C16" s="333" t="str">
        <f>'[1]Data Entry'!C$5</f>
        <v>NON PLAN - BOYS</v>
      </c>
      <c r="D16" s="334" t="s">
        <v>248</v>
      </c>
      <c r="E16" s="326" t="s">
        <v>403</v>
      </c>
      <c r="F16" s="327">
        <f>COUNTIF(Master!C$59:C$108,'Format 1A'!D16)</f>
        <v>0</v>
      </c>
      <c r="G16" s="328" t="s">
        <v>401</v>
      </c>
      <c r="H16" s="328" t="s">
        <v>401</v>
      </c>
      <c r="I16" s="328">
        <f t="shared" si="0"/>
        <v>0</v>
      </c>
      <c r="J16" s="672">
        <f>SUMIF('Formet 8'!F$12:F$103,'Format 1A'!D16,'Formet 8'!BZ$12:BZ$103)</f>
        <v>0</v>
      </c>
      <c r="K16" s="673"/>
      <c r="L16" s="672">
        <f>SUMIF('Formet 8'!F$12:F$103,'Format 1A'!D16,'Formet 8'!BV$12:BV$103)</f>
        <v>0</v>
      </c>
      <c r="M16" s="673"/>
      <c r="N16" s="347">
        <f t="shared" si="1"/>
        <v>0</v>
      </c>
      <c r="O16" s="348"/>
      <c r="R16">
        <f t="shared" si="2"/>
        <v>0</v>
      </c>
      <c r="S16">
        <f>SUMIF('Formet 8'!F$12:F$103,'Format 1A'!D16,'Formet 8'!BZ$12:BZ$103)</f>
        <v>0</v>
      </c>
      <c r="T16">
        <f>SUMIF('Formet 8'!F$12:F$334,'Format 1A'!D16,'Formet 8'!BV$12:BV$334)</f>
        <v>0</v>
      </c>
      <c r="U16">
        <f t="shared" si="3"/>
        <v>0</v>
      </c>
    </row>
    <row r="17" spans="1:21" ht="15" customHeight="1">
      <c r="A17" s="325">
        <f t="shared" si="4"/>
        <v>2</v>
      </c>
      <c r="B17" s="306" t="s">
        <v>399</v>
      </c>
      <c r="C17" s="333" t="str">
        <f>'[1]Data Entry'!C$5</f>
        <v>NON PLAN - BOYS</v>
      </c>
      <c r="D17" s="334" t="s">
        <v>261</v>
      </c>
      <c r="E17" s="326" t="s">
        <v>404</v>
      </c>
      <c r="F17" s="327">
        <f>COUNTIF(Master!C$59:C$108,'Format 1A'!D17)</f>
        <v>0</v>
      </c>
      <c r="G17" s="328" t="s">
        <v>401</v>
      </c>
      <c r="H17" s="328" t="s">
        <v>401</v>
      </c>
      <c r="I17" s="328">
        <f t="shared" si="0"/>
        <v>0</v>
      </c>
      <c r="J17" s="672">
        <f>SUMIF('Formet 8'!F$12:F$103,'Format 1A'!D17,'Formet 8'!BZ$12:BZ$103)</f>
        <v>0</v>
      </c>
      <c r="K17" s="673"/>
      <c r="L17" s="672">
        <f>SUMIF('Formet 8'!F$12:F$103,'Format 1A'!D17,'Formet 8'!BV$12:BV$103)</f>
        <v>0</v>
      </c>
      <c r="M17" s="673"/>
      <c r="N17" s="347">
        <f t="shared" si="1"/>
        <v>0</v>
      </c>
      <c r="O17" s="348"/>
      <c r="R17">
        <f t="shared" si="2"/>
        <v>0</v>
      </c>
      <c r="S17">
        <f>SUMIF('Formet 8'!F$12:F$103,'Format 1A'!D17,'Formet 8'!BZ$12:BZ$103)</f>
        <v>0</v>
      </c>
      <c r="T17">
        <f>SUMIF('Formet 8'!F$12:F$334,'Format 1A'!D17,'Formet 8'!BV$12:BV$334)</f>
        <v>0</v>
      </c>
      <c r="U17">
        <f t="shared" si="3"/>
        <v>0</v>
      </c>
    </row>
    <row r="18" spans="1:21" ht="15" customHeight="1">
      <c r="A18" s="325">
        <f t="shared" si="4"/>
        <v>3</v>
      </c>
      <c r="B18" s="306" t="s">
        <v>399</v>
      </c>
      <c r="C18" s="333" t="str">
        <f>'[1]Data Entry'!C$5</f>
        <v>NON PLAN - BOYS</v>
      </c>
      <c r="D18" s="334" t="s">
        <v>70</v>
      </c>
      <c r="E18" s="326" t="s">
        <v>405</v>
      </c>
      <c r="F18" s="327">
        <f>COUNTIF(Master!C$59:C$108,'Format 1A'!D18)</f>
        <v>3</v>
      </c>
      <c r="G18" s="328" t="s">
        <v>401</v>
      </c>
      <c r="H18" s="328" t="s">
        <v>401</v>
      </c>
      <c r="I18" s="328">
        <f t="shared" si="0"/>
        <v>3</v>
      </c>
      <c r="J18" s="672">
        <f>SUMIF('Formet 8'!F$12:F$103,'Format 1A'!D18,'Formet 8'!BZ$12:BZ$103)</f>
        <v>2</v>
      </c>
      <c r="K18" s="673"/>
      <c r="L18" s="672">
        <f>SUMIF('Formet 8'!F$12:F$103,'Format 1A'!D18,'Formet 8'!BV$12:BV$103)</f>
        <v>1</v>
      </c>
      <c r="M18" s="673"/>
      <c r="N18" s="347">
        <f t="shared" si="1"/>
        <v>0</v>
      </c>
      <c r="O18" s="348"/>
      <c r="R18">
        <f t="shared" si="2"/>
        <v>3</v>
      </c>
      <c r="S18">
        <f>SUMIF('Formet 8'!F$12:F$103,'Format 1A'!D18,'Formet 8'!BZ$12:BZ$103)</f>
        <v>2</v>
      </c>
      <c r="T18">
        <f>SUMIF('Formet 8'!F$12:F$334,'Format 1A'!D18,'Formet 8'!BV$12:BV$334)</f>
        <v>1</v>
      </c>
      <c r="U18">
        <f t="shared" si="3"/>
        <v>0</v>
      </c>
    </row>
    <row r="19" spans="1:21" ht="15" customHeight="1">
      <c r="A19" s="325">
        <f t="shared" si="4"/>
        <v>3</v>
      </c>
      <c r="B19" s="306" t="s">
        <v>399</v>
      </c>
      <c r="C19" s="333" t="str">
        <f>'[1]Data Entry'!C$5</f>
        <v>NON PLAN - BOYS</v>
      </c>
      <c r="D19" s="335" t="s">
        <v>253</v>
      </c>
      <c r="E19" s="326" t="s">
        <v>405</v>
      </c>
      <c r="F19" s="327">
        <f>COUNTIF(Master!C$59:C$108,'Format 1A'!D19)</f>
        <v>0</v>
      </c>
      <c r="G19" s="328" t="s">
        <v>401</v>
      </c>
      <c r="H19" s="328" t="s">
        <v>401</v>
      </c>
      <c r="I19" s="328">
        <f t="shared" si="0"/>
        <v>0</v>
      </c>
      <c r="J19" s="672">
        <f>SUMIF('Formet 8'!F$12:F$103,'Format 1A'!D19,'Formet 8'!BZ$12:BZ$103)</f>
        <v>0</v>
      </c>
      <c r="K19" s="673"/>
      <c r="L19" s="672">
        <f>SUMIF('Formet 8'!F$12:F$103,'Format 1A'!D19,'Formet 8'!BV$12:BV$103)</f>
        <v>0</v>
      </c>
      <c r="M19" s="673"/>
      <c r="N19" s="347">
        <f t="shared" si="1"/>
        <v>0</v>
      </c>
      <c r="O19" s="348"/>
      <c r="R19">
        <f t="shared" si="2"/>
        <v>0</v>
      </c>
      <c r="S19">
        <f>SUMIF('Formet 8'!F$12:F$103,'Format 1A'!D19,'Formet 8'!BZ$12:BZ$103)</f>
        <v>0</v>
      </c>
      <c r="T19">
        <f>SUMIF('Formet 8'!F$12:F$334,'Format 1A'!D19,'Formet 8'!BV$12:BV$334)</f>
        <v>0</v>
      </c>
      <c r="U19">
        <f t="shared" si="3"/>
        <v>0</v>
      </c>
    </row>
    <row r="20" spans="1:21" ht="15" customHeight="1">
      <c r="A20" s="325">
        <f t="shared" si="4"/>
        <v>3</v>
      </c>
      <c r="B20" s="306" t="s">
        <v>399</v>
      </c>
      <c r="C20" s="333" t="str">
        <f>'[1]Data Entry'!C$5</f>
        <v>NON PLAN - BOYS</v>
      </c>
      <c r="D20" s="334" t="s">
        <v>81</v>
      </c>
      <c r="E20" s="326" t="s">
        <v>405</v>
      </c>
      <c r="F20" s="327">
        <f>COUNTIF(Master!C$59:C$108,'Format 1A'!D20)</f>
        <v>0</v>
      </c>
      <c r="G20" s="328" t="s">
        <v>401</v>
      </c>
      <c r="H20" s="328" t="s">
        <v>401</v>
      </c>
      <c r="I20" s="328">
        <f t="shared" si="0"/>
        <v>0</v>
      </c>
      <c r="J20" s="672">
        <f>SUMIF('Formet 8'!F$12:F$103,'Format 1A'!D20,'Formet 8'!BZ$12:BZ$103)</f>
        <v>0</v>
      </c>
      <c r="K20" s="673"/>
      <c r="L20" s="672">
        <f>SUMIF('Formet 8'!F$12:F$103,'Format 1A'!D20,'Formet 8'!BV$12:BV$103)</f>
        <v>0</v>
      </c>
      <c r="M20" s="673"/>
      <c r="N20" s="347">
        <f t="shared" si="1"/>
        <v>0</v>
      </c>
      <c r="O20" s="348"/>
      <c r="R20">
        <f t="shared" si="2"/>
        <v>0</v>
      </c>
      <c r="S20">
        <f>SUMIF('Formet 8'!F$12:F$103,'Format 1A'!D20,'Formet 8'!BZ$12:BZ$103)</f>
        <v>0</v>
      </c>
      <c r="T20">
        <f>SUMIF('Formet 8'!F$12:F$334,'Format 1A'!D20,'Formet 8'!BV$12:BV$334)</f>
        <v>0</v>
      </c>
      <c r="U20">
        <f t="shared" si="3"/>
        <v>0</v>
      </c>
    </row>
    <row r="21" spans="1:21" ht="15" customHeight="1">
      <c r="A21" s="325">
        <f t="shared" si="4"/>
        <v>3</v>
      </c>
      <c r="B21" s="306" t="s">
        <v>399</v>
      </c>
      <c r="C21" s="333" t="str">
        <f>'[1]Data Entry'!C$5</f>
        <v>NON PLAN - BOYS</v>
      </c>
      <c r="D21" s="334" t="s">
        <v>263</v>
      </c>
      <c r="E21" s="326" t="s">
        <v>406</v>
      </c>
      <c r="F21" s="327">
        <f>COUNTIF(Master!C$59:C$108,'Format 1A'!D21)</f>
        <v>0</v>
      </c>
      <c r="G21" s="328" t="s">
        <v>401</v>
      </c>
      <c r="H21" s="328" t="s">
        <v>401</v>
      </c>
      <c r="I21" s="328">
        <f t="shared" si="0"/>
        <v>0</v>
      </c>
      <c r="J21" s="672">
        <f>SUMIF('Formet 8'!F$12:F$103,'Format 1A'!D21,'Formet 8'!BZ$12:BZ$103)</f>
        <v>0</v>
      </c>
      <c r="K21" s="673"/>
      <c r="L21" s="672">
        <f>SUMIF('Formet 8'!F$12:F$103,'Format 1A'!D21,'Formet 8'!BV$12:BV$103)</f>
        <v>0</v>
      </c>
      <c r="M21" s="673"/>
      <c r="N21" s="347">
        <f t="shared" si="1"/>
        <v>0</v>
      </c>
      <c r="O21" s="348"/>
      <c r="R21">
        <f t="shared" si="2"/>
        <v>0</v>
      </c>
      <c r="S21">
        <f>SUMIF('Formet 8'!F$12:F$103,'Format 1A'!D21,'Formet 8'!BZ$12:BZ$103)</f>
        <v>0</v>
      </c>
      <c r="T21">
        <f>SUMIF('Formet 8'!F$12:F$334,'Format 1A'!D21,'Formet 8'!BV$12:BV$334)</f>
        <v>0</v>
      </c>
      <c r="U21">
        <f t="shared" si="3"/>
        <v>0</v>
      </c>
    </row>
    <row r="22" spans="1:21" ht="15" customHeight="1">
      <c r="A22" s="325">
        <f t="shared" si="4"/>
        <v>3</v>
      </c>
      <c r="B22" s="306" t="s">
        <v>399</v>
      </c>
      <c r="C22" s="333" t="str">
        <f>'[1]Data Entry'!C$5</f>
        <v>NON PLAN - BOYS</v>
      </c>
      <c r="D22" s="334" t="s">
        <v>265</v>
      </c>
      <c r="E22" s="326" t="s">
        <v>406</v>
      </c>
      <c r="F22" s="327">
        <f>COUNTIF(Master!C$59:C$108,'Format 1A'!D22)</f>
        <v>0</v>
      </c>
      <c r="G22" s="328" t="s">
        <v>401</v>
      </c>
      <c r="H22" s="328" t="s">
        <v>401</v>
      </c>
      <c r="I22" s="328">
        <f t="shared" si="0"/>
        <v>0</v>
      </c>
      <c r="J22" s="672">
        <f>SUMIF('Formet 8'!F$12:F$103,'Format 1A'!D22,'Formet 8'!BZ$12:BZ$103)</f>
        <v>0</v>
      </c>
      <c r="K22" s="673"/>
      <c r="L22" s="672">
        <f>SUMIF('Formet 8'!F$12:F$103,'Format 1A'!D22,'Formet 8'!BV$12:BV$103)</f>
        <v>0</v>
      </c>
      <c r="M22" s="673"/>
      <c r="N22" s="347">
        <f t="shared" si="1"/>
        <v>0</v>
      </c>
      <c r="O22" s="348"/>
      <c r="R22">
        <f t="shared" si="2"/>
        <v>0</v>
      </c>
      <c r="S22">
        <f>SUMIF('Formet 8'!F$12:F$103,'Format 1A'!D22,'Formet 8'!BZ$12:BZ$103)</f>
        <v>0</v>
      </c>
      <c r="T22">
        <f>SUMIF('Formet 8'!F$12:F$334,'Format 1A'!D22,'Formet 8'!BV$12:BV$334)</f>
        <v>0</v>
      </c>
      <c r="U22">
        <f t="shared" si="3"/>
        <v>0</v>
      </c>
    </row>
    <row r="23" spans="1:21" ht="15" customHeight="1">
      <c r="A23" s="325">
        <f t="shared" si="4"/>
        <v>4</v>
      </c>
      <c r="B23" s="306" t="s">
        <v>399</v>
      </c>
      <c r="C23" s="333" t="str">
        <f>'[1]Data Entry'!C$5</f>
        <v>NON PLAN - BOYS</v>
      </c>
      <c r="D23" s="334" t="s">
        <v>259</v>
      </c>
      <c r="E23" s="326" t="s">
        <v>404</v>
      </c>
      <c r="F23" s="327">
        <f>COUNTIF(Master!C$59:C$108,'Format 1A'!D23)</f>
        <v>1</v>
      </c>
      <c r="G23" s="328" t="s">
        <v>401</v>
      </c>
      <c r="H23" s="328" t="s">
        <v>401</v>
      </c>
      <c r="I23" s="328">
        <f t="shared" si="0"/>
        <v>1</v>
      </c>
      <c r="J23" s="672">
        <f>SUMIF('Formet 8'!F$12:F$103,'Format 1A'!D23,'Formet 8'!BZ$12:BZ$103)</f>
        <v>1</v>
      </c>
      <c r="K23" s="673"/>
      <c r="L23" s="672">
        <f>SUMIF('Formet 8'!F$12:F$103,'Format 1A'!D23,'Formet 8'!BV$12:BV$103)</f>
        <v>0</v>
      </c>
      <c r="M23" s="673"/>
      <c r="N23" s="347">
        <f t="shared" si="1"/>
        <v>0</v>
      </c>
      <c r="O23" s="348"/>
      <c r="R23">
        <f t="shared" si="2"/>
        <v>1</v>
      </c>
      <c r="S23">
        <f>SUMIF('Formet 8'!F$12:F$103,'Format 1A'!D23,'Formet 8'!BZ$12:BZ$103)</f>
        <v>1</v>
      </c>
      <c r="T23">
        <f>SUMIF('Formet 8'!F$12:F$334,'Format 1A'!D23,'Formet 8'!BV$12:BV$334)</f>
        <v>0</v>
      </c>
      <c r="U23">
        <f t="shared" si="3"/>
        <v>0</v>
      </c>
    </row>
    <row r="24" spans="1:21" ht="15" customHeight="1">
      <c r="A24" s="325">
        <f t="shared" si="4"/>
        <v>5</v>
      </c>
      <c r="B24" s="306" t="s">
        <v>399</v>
      </c>
      <c r="C24" s="333" t="str">
        <f>'[1]Data Entry'!C$5</f>
        <v>NON PLAN - BOYS</v>
      </c>
      <c r="D24" s="334" t="s">
        <v>75</v>
      </c>
      <c r="E24" s="326" t="s">
        <v>404</v>
      </c>
      <c r="F24" s="327">
        <f>COUNTIF(Master!C$59:C$108,'Format 1A'!D24)</f>
        <v>5</v>
      </c>
      <c r="G24" s="328" t="s">
        <v>401</v>
      </c>
      <c r="H24" s="328" t="s">
        <v>401</v>
      </c>
      <c r="I24" s="328">
        <f t="shared" si="0"/>
        <v>5</v>
      </c>
      <c r="J24" s="672">
        <f>SUMIF('Formet 8'!F$12:F$103,'Format 1A'!D24,'Formet 8'!BZ$12:BZ$103)</f>
        <v>4</v>
      </c>
      <c r="K24" s="673"/>
      <c r="L24" s="672">
        <f>SUMIF('Formet 8'!F$12:F$103,'Format 1A'!D24,'Formet 8'!BV$12:BV$103)</f>
        <v>1</v>
      </c>
      <c r="M24" s="673"/>
      <c r="N24" s="347">
        <f t="shared" si="1"/>
        <v>0</v>
      </c>
      <c r="O24" s="348"/>
      <c r="R24">
        <f t="shared" si="2"/>
        <v>5</v>
      </c>
      <c r="S24">
        <f>SUMIF('Formet 8'!F$12:F$103,'Format 1A'!D24,'Formet 8'!BZ$12:BZ$103)</f>
        <v>4</v>
      </c>
      <c r="T24">
        <f>SUMIF('Formet 8'!F$12:F$334,'Format 1A'!D24,'Formet 8'!BV$12:BV$334)</f>
        <v>1</v>
      </c>
      <c r="U24">
        <f t="shared" si="3"/>
        <v>0</v>
      </c>
    </row>
    <row r="25" spans="1:21" ht="15" customHeight="1">
      <c r="A25" s="325">
        <f t="shared" si="4"/>
        <v>5</v>
      </c>
      <c r="B25" s="306" t="s">
        <v>399</v>
      </c>
      <c r="C25" s="333" t="str">
        <f>'[1]Data Entry'!C$5</f>
        <v>NON PLAN - BOYS</v>
      </c>
      <c r="D25" s="334" t="s">
        <v>256</v>
      </c>
      <c r="E25" s="326" t="s">
        <v>404</v>
      </c>
      <c r="F25" s="327">
        <f>COUNTIF(Master!C$59:C$108,'Format 1A'!D25)</f>
        <v>0</v>
      </c>
      <c r="G25" s="328" t="s">
        <v>401</v>
      </c>
      <c r="H25" s="328" t="s">
        <v>401</v>
      </c>
      <c r="I25" s="328">
        <f t="shared" si="0"/>
        <v>0</v>
      </c>
      <c r="J25" s="672">
        <f>SUMIF('Formet 8'!F$12:F$103,'Format 1A'!D25,'Formet 8'!BZ$12:BZ$103)</f>
        <v>0</v>
      </c>
      <c r="K25" s="673"/>
      <c r="L25" s="672">
        <f>SUMIF('Formet 8'!F$12:F$103,'Format 1A'!D25,'Formet 8'!BV$12:BV$103)</f>
        <v>0</v>
      </c>
      <c r="M25" s="673"/>
      <c r="N25" s="347">
        <f t="shared" si="1"/>
        <v>0</v>
      </c>
      <c r="O25" s="348"/>
      <c r="R25">
        <f t="shared" si="2"/>
        <v>0</v>
      </c>
      <c r="S25">
        <f>SUMIF('Formet 8'!F$12:F$103,'Format 1A'!D25,'Formet 8'!BZ$12:BZ$103)</f>
        <v>0</v>
      </c>
      <c r="T25">
        <f>SUMIF('Formet 8'!F$12:F$334,'Format 1A'!D25,'Formet 8'!BV$12:BV$334)</f>
        <v>0</v>
      </c>
      <c r="U25">
        <f t="shared" si="3"/>
        <v>0</v>
      </c>
    </row>
    <row r="26" spans="1:21" ht="15" customHeight="1">
      <c r="A26" s="325">
        <f t="shared" si="4"/>
        <v>5</v>
      </c>
      <c r="B26" s="306" t="s">
        <v>399</v>
      </c>
      <c r="C26" s="333" t="str">
        <f>'[1]Data Entry'!C$5</f>
        <v>NON PLAN - BOYS</v>
      </c>
      <c r="D26" s="334" t="s">
        <v>263</v>
      </c>
      <c r="E26" s="326" t="s">
        <v>406</v>
      </c>
      <c r="F26" s="327">
        <f>COUNTIF(Master!C$59:C$108,'Format 1A'!D26)</f>
        <v>0</v>
      </c>
      <c r="G26" s="328" t="s">
        <v>401</v>
      </c>
      <c r="H26" s="328" t="s">
        <v>401</v>
      </c>
      <c r="I26" s="328">
        <f t="shared" si="0"/>
        <v>0</v>
      </c>
      <c r="J26" s="672">
        <f>SUMIF('Formet 8'!F$12:F$103,'Format 1A'!D26,'Formet 8'!BZ$12:BZ$103)</f>
        <v>0</v>
      </c>
      <c r="K26" s="673"/>
      <c r="L26" s="672">
        <f>SUMIF('Formet 8'!F$12:F$103,'Format 1A'!D26,'Formet 8'!BV$12:BV$103)</f>
        <v>0</v>
      </c>
      <c r="M26" s="673"/>
      <c r="N26" s="347">
        <f t="shared" si="1"/>
        <v>0</v>
      </c>
      <c r="O26" s="348"/>
      <c r="R26">
        <f t="shared" si="2"/>
        <v>0</v>
      </c>
      <c r="S26">
        <f>SUMIF('Formet 8'!F$12:F$103,'Format 1A'!D26,'Formet 8'!BZ$12:BZ$103)</f>
        <v>0</v>
      </c>
      <c r="T26">
        <f>SUMIF('Formet 8'!F$12:F$334,'Format 1A'!D26,'Formet 8'!BV$12:BV$334)</f>
        <v>0</v>
      </c>
      <c r="U26">
        <f t="shared" si="3"/>
        <v>0</v>
      </c>
    </row>
    <row r="27" spans="1:21" ht="15" customHeight="1">
      <c r="A27" s="325">
        <f t="shared" si="4"/>
        <v>6</v>
      </c>
      <c r="B27" s="306" t="s">
        <v>399</v>
      </c>
      <c r="C27" s="333" t="str">
        <f>'[1]Data Entry'!C$5</f>
        <v>NON PLAN - BOYS</v>
      </c>
      <c r="D27" s="334" t="s">
        <v>83</v>
      </c>
      <c r="E27" s="326" t="s">
        <v>407</v>
      </c>
      <c r="F27" s="327">
        <f>COUNTIF(Master!C$59:C$108,'Format 1A'!D27)</f>
        <v>1</v>
      </c>
      <c r="G27" s="328" t="s">
        <v>401</v>
      </c>
      <c r="H27" s="328" t="s">
        <v>401</v>
      </c>
      <c r="I27" s="328">
        <f t="shared" si="0"/>
        <v>1</v>
      </c>
      <c r="J27" s="672">
        <f>SUMIF('Formet 8'!F$12:F$103,'Format 1A'!D27,'Formet 8'!BZ$12:BZ$103)</f>
        <v>0</v>
      </c>
      <c r="K27" s="673"/>
      <c r="L27" s="672">
        <f>SUMIF('Formet 8'!F$12:F$103,'Format 1A'!D27,'Formet 8'!BV$12:BV$103)</f>
        <v>0</v>
      </c>
      <c r="M27" s="673"/>
      <c r="N27" s="347">
        <f t="shared" si="1"/>
        <v>1</v>
      </c>
      <c r="O27" s="348"/>
      <c r="R27">
        <f t="shared" si="2"/>
        <v>1</v>
      </c>
      <c r="S27">
        <f>SUMIF('Formet 8'!F$12:F$103,'Format 1A'!D27,'Formet 8'!BZ$12:BZ$103)</f>
        <v>0</v>
      </c>
      <c r="T27">
        <f>SUMIF('Formet 8'!F$12:F$334,'Format 1A'!D27,'Formet 8'!BV$12:BV$334)</f>
        <v>0</v>
      </c>
      <c r="U27">
        <f t="shared" si="3"/>
        <v>1</v>
      </c>
    </row>
    <row r="28" spans="1:21" ht="15" customHeight="1">
      <c r="A28" s="325">
        <f t="shared" si="4"/>
        <v>6</v>
      </c>
      <c r="B28" s="306" t="s">
        <v>399</v>
      </c>
      <c r="C28" s="333" t="str">
        <f>'[1]Data Entry'!C$5</f>
        <v>NON PLAN - BOYS</v>
      </c>
      <c r="D28" s="334" t="s">
        <v>267</v>
      </c>
      <c r="E28" s="326" t="s">
        <v>407</v>
      </c>
      <c r="F28" s="327">
        <f>COUNTIF(Master!C$59:C$108,'Format 1A'!D28)</f>
        <v>0</v>
      </c>
      <c r="G28" s="328" t="s">
        <v>401</v>
      </c>
      <c r="H28" s="328" t="s">
        <v>401</v>
      </c>
      <c r="I28" s="328">
        <f t="shared" si="0"/>
        <v>0</v>
      </c>
      <c r="J28" s="672">
        <f>SUMIF('Formet 8'!F$12:F$103,'Format 1A'!D28,'Formet 8'!BZ$12:BZ$103)</f>
        <v>0</v>
      </c>
      <c r="K28" s="673"/>
      <c r="L28" s="672">
        <f>SUMIF('Formet 8'!F$12:F$103,'Format 1A'!D28,'Formet 8'!BV$12:BV$103)</f>
        <v>0</v>
      </c>
      <c r="M28" s="673"/>
      <c r="N28" s="347">
        <f t="shared" si="1"/>
        <v>0</v>
      </c>
      <c r="O28" s="348"/>
      <c r="R28">
        <f t="shared" si="2"/>
        <v>0</v>
      </c>
      <c r="S28">
        <f>SUMIF('Formet 8'!F$12:F$103,'Format 1A'!D28,'Formet 8'!BZ$12:BZ$103)</f>
        <v>0</v>
      </c>
      <c r="T28">
        <f>SUMIF('Formet 8'!F$12:F$334,'Format 1A'!D28,'Formet 8'!BV$12:BV$334)</f>
        <v>0</v>
      </c>
      <c r="U28">
        <f t="shared" si="3"/>
        <v>0</v>
      </c>
    </row>
    <row r="29" spans="1:21" ht="15" customHeight="1">
      <c r="A29" s="325">
        <f t="shared" si="4"/>
        <v>7</v>
      </c>
      <c r="B29" s="306" t="s">
        <v>399</v>
      </c>
      <c r="C29" s="333" t="str">
        <f>'[1]Data Entry'!C$5</f>
        <v>NON PLAN - BOYS</v>
      </c>
      <c r="D29" s="334" t="s">
        <v>273</v>
      </c>
      <c r="E29" s="326" t="s">
        <v>408</v>
      </c>
      <c r="F29" s="327">
        <f>COUNTIF(Master!C$59:C$108,'Format 1A'!D29)</f>
        <v>1</v>
      </c>
      <c r="G29" s="328" t="s">
        <v>401</v>
      </c>
      <c r="H29" s="328" t="s">
        <v>401</v>
      </c>
      <c r="I29" s="328">
        <f t="shared" si="0"/>
        <v>1</v>
      </c>
      <c r="J29" s="672">
        <f>SUMIF('Formet 8'!F$12:F$103,'Format 1A'!D29,'Formet 8'!BZ$12:BZ$103)</f>
        <v>1</v>
      </c>
      <c r="K29" s="673"/>
      <c r="L29" s="672">
        <f>SUMIF('Formet 8'!F$12:F$103,'Format 1A'!D29,'Formet 8'!BV$12:BV$103)</f>
        <v>0</v>
      </c>
      <c r="M29" s="673"/>
      <c r="N29" s="347">
        <f t="shared" si="1"/>
        <v>0</v>
      </c>
      <c r="O29" s="348"/>
      <c r="R29">
        <f t="shared" si="2"/>
        <v>1</v>
      </c>
      <c r="S29">
        <f>SUMIF('Formet 8'!F$12:F$103,'Format 1A'!D29,'Formet 8'!BZ$12:BZ$103)</f>
        <v>1</v>
      </c>
      <c r="T29">
        <f>SUMIF('Formet 8'!F$12:F$334,'Format 1A'!D29,'Formet 8'!BV$12:BV$334)</f>
        <v>0</v>
      </c>
      <c r="U29">
        <f t="shared" si="3"/>
        <v>0</v>
      </c>
    </row>
    <row r="30" spans="1:21" ht="15" customHeight="1">
      <c r="A30" s="325">
        <f t="shared" si="4"/>
        <v>7</v>
      </c>
      <c r="B30" s="306" t="s">
        <v>399</v>
      </c>
      <c r="C30" s="333" t="str">
        <f>'[1]Data Entry'!C$5</f>
        <v>NON PLAN - BOYS</v>
      </c>
      <c r="D30" s="334" t="s">
        <v>271</v>
      </c>
      <c r="E30" s="326" t="s">
        <v>408</v>
      </c>
      <c r="F30" s="327">
        <f>COUNTIF(Master!C$59:C$108,'Format 1A'!D30)</f>
        <v>0</v>
      </c>
      <c r="G30" s="328" t="s">
        <v>401</v>
      </c>
      <c r="H30" s="328" t="s">
        <v>401</v>
      </c>
      <c r="I30" s="328">
        <f t="shared" si="0"/>
        <v>0</v>
      </c>
      <c r="J30" s="672">
        <f>SUMIF('Formet 8'!F$12:F$103,'Format 1A'!D30,'Formet 8'!BZ$12:BZ$103)</f>
        <v>0</v>
      </c>
      <c r="K30" s="673"/>
      <c r="L30" s="672">
        <f>SUMIF('Formet 8'!F$12:F$103,'Format 1A'!D30,'Formet 8'!BV$12:BV$103)</f>
        <v>0</v>
      </c>
      <c r="M30" s="673"/>
      <c r="N30" s="347">
        <f t="shared" si="1"/>
        <v>0</v>
      </c>
      <c r="O30" s="348"/>
      <c r="R30">
        <f t="shared" si="2"/>
        <v>0</v>
      </c>
      <c r="S30">
        <f>SUMIF('Formet 8'!F$12:F$103,'Format 1A'!D30,'Formet 8'!BZ$12:BZ$103)</f>
        <v>0</v>
      </c>
      <c r="T30">
        <f>SUMIF('Formet 8'!F$12:F$334,'Format 1A'!D30,'Formet 8'!BV$12:BV$334)</f>
        <v>0</v>
      </c>
      <c r="U30">
        <f t="shared" si="3"/>
        <v>0</v>
      </c>
    </row>
    <row r="31" spans="1:21" ht="15" customHeight="1">
      <c r="A31" s="325">
        <f t="shared" si="4"/>
        <v>8</v>
      </c>
      <c r="B31" s="306" t="s">
        <v>399</v>
      </c>
      <c r="C31" s="333" t="str">
        <f>'[1]Data Entry'!C$5</f>
        <v>NON PLAN - BOYS</v>
      </c>
      <c r="D31" s="334" t="s">
        <v>86</v>
      </c>
      <c r="E31" s="326" t="s">
        <v>408</v>
      </c>
      <c r="F31" s="327">
        <f>COUNTIF(Master!C$59:C$108,'Format 1A'!D31)</f>
        <v>1</v>
      </c>
      <c r="G31" s="328" t="s">
        <v>401</v>
      </c>
      <c r="H31" s="328" t="s">
        <v>401</v>
      </c>
      <c r="I31" s="328">
        <f t="shared" si="0"/>
        <v>1</v>
      </c>
      <c r="J31" s="672">
        <f>SUMIF('Formet 8'!F$12:F$103,'Format 1A'!D31,'Formet 8'!BZ$12:BZ$103)</f>
        <v>1</v>
      </c>
      <c r="K31" s="673"/>
      <c r="L31" s="672">
        <f>SUMIF('Formet 8'!F$12:F$103,'Format 1A'!D31,'Formet 8'!BV$12:BV$103)</f>
        <v>0</v>
      </c>
      <c r="M31" s="673"/>
      <c r="N31" s="347">
        <f t="shared" si="1"/>
        <v>0</v>
      </c>
      <c r="O31" s="348"/>
      <c r="R31">
        <f t="shared" si="2"/>
        <v>1</v>
      </c>
      <c r="S31">
        <f>SUMIF('Formet 8'!F$12:F$103,'Format 1A'!D31,'Formet 8'!BZ$12:BZ$103)</f>
        <v>1</v>
      </c>
      <c r="T31">
        <f>SUMIF('Formet 8'!F$12:F$334,'Format 1A'!D31,'Formet 8'!BV$12:BV$334)</f>
        <v>0</v>
      </c>
      <c r="U31">
        <f t="shared" si="3"/>
        <v>0</v>
      </c>
    </row>
    <row r="32" spans="1:21" ht="18.75">
      <c r="A32" s="329"/>
      <c r="B32" s="329"/>
      <c r="C32" s="330"/>
      <c r="D32" s="331" t="s">
        <v>409</v>
      </c>
      <c r="E32" s="330"/>
      <c r="F32" s="331">
        <f>SUM(F9:F31)</f>
        <v>17</v>
      </c>
      <c r="G32" s="331">
        <f>SUM(G9:G31)</f>
        <v>0</v>
      </c>
      <c r="H32" s="331">
        <f>SUM(H9:H31)</f>
        <v>0</v>
      </c>
      <c r="I32" s="331">
        <f>SUM(I9:I31)</f>
        <v>17</v>
      </c>
      <c r="J32" s="668">
        <f>SUM(J9:J31)</f>
        <v>13</v>
      </c>
      <c r="K32" s="669"/>
      <c r="L32" s="668">
        <f>SUM(L9:L31)</f>
        <v>3</v>
      </c>
      <c r="M32" s="669"/>
      <c r="N32" s="291">
        <f>SUM(N9:N31)</f>
        <v>1</v>
      </c>
      <c r="O32" s="331"/>
    </row>
    <row r="33" spans="1:15">
      <c r="A33" s="324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</row>
    <row r="34" spans="1:15" ht="18.75">
      <c r="A34" s="324"/>
      <c r="B34" s="162"/>
      <c r="C34" s="162"/>
      <c r="D34" s="162"/>
      <c r="E34" s="162"/>
      <c r="F34" s="162"/>
      <c r="G34" s="162"/>
      <c r="H34" s="162"/>
      <c r="I34" s="324"/>
      <c r="J34" s="324"/>
      <c r="K34" s="324"/>
      <c r="L34" s="587" t="str">
        <f>Master!C2</f>
        <v>iz/kkukpk;Z</v>
      </c>
      <c r="M34" s="587"/>
      <c r="N34" s="587"/>
      <c r="O34" s="587"/>
    </row>
    <row r="35" spans="1:15" ht="15" customHeight="1">
      <c r="A35" s="324"/>
      <c r="B35" s="162"/>
      <c r="C35" s="162"/>
      <c r="D35" s="162"/>
      <c r="E35" s="162"/>
      <c r="F35" s="162"/>
      <c r="G35" s="162"/>
      <c r="H35" s="162"/>
      <c r="I35" s="324"/>
      <c r="J35" s="324"/>
      <c r="K35" s="324"/>
      <c r="L35" s="588" t="str">
        <f>Master!D2</f>
        <v>jktdh; vkn'kZ mPp ek/;fed fo|ky; bdygjk ¼ Mhx ½</v>
      </c>
      <c r="M35" s="588"/>
      <c r="N35" s="588"/>
      <c r="O35" s="588"/>
    </row>
    <row r="36" spans="1:15" ht="15" customHeight="1">
      <c r="A36" s="324"/>
      <c r="B36" s="162"/>
      <c r="C36" s="162"/>
      <c r="D36" s="162"/>
      <c r="E36" s="162"/>
      <c r="F36" s="162"/>
      <c r="G36" s="162"/>
      <c r="H36" s="162"/>
      <c r="I36" s="324"/>
      <c r="J36" s="324"/>
      <c r="K36" s="324"/>
      <c r="L36" s="588"/>
      <c r="M36" s="588"/>
      <c r="N36" s="588"/>
      <c r="O36" s="588"/>
    </row>
    <row r="37" spans="1:15">
      <c r="L37" s="588"/>
      <c r="M37" s="588"/>
      <c r="N37" s="588"/>
      <c r="O37" s="588"/>
    </row>
  </sheetData>
  <mergeCells count="72">
    <mergeCell ref="O6:O7"/>
    <mergeCell ref="J7:K7"/>
    <mergeCell ref="L7:M7"/>
    <mergeCell ref="M1:O1"/>
    <mergeCell ref="A2:O2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N7"/>
    <mergeCell ref="J8:K8"/>
    <mergeCell ref="L8:M8"/>
    <mergeCell ref="J9:K9"/>
    <mergeCell ref="L9:M9"/>
    <mergeCell ref="J10:K10"/>
    <mergeCell ref="L10:M10"/>
    <mergeCell ref="J11:K11"/>
    <mergeCell ref="L11:M11"/>
    <mergeCell ref="J12:K12"/>
    <mergeCell ref="L12:M12"/>
    <mergeCell ref="J13:K13"/>
    <mergeCell ref="L13:M13"/>
    <mergeCell ref="J14:K14"/>
    <mergeCell ref="L14:M14"/>
    <mergeCell ref="J15:K15"/>
    <mergeCell ref="L15:M15"/>
    <mergeCell ref="J16:K16"/>
    <mergeCell ref="L16:M16"/>
    <mergeCell ref="J17:K17"/>
    <mergeCell ref="L17:M17"/>
    <mergeCell ref="J18:K18"/>
    <mergeCell ref="L18:M18"/>
    <mergeCell ref="J19:K19"/>
    <mergeCell ref="L19:M19"/>
    <mergeCell ref="J20:K20"/>
    <mergeCell ref="L20:M20"/>
    <mergeCell ref="J21:K21"/>
    <mergeCell ref="L21:M21"/>
    <mergeCell ref="J22:K22"/>
    <mergeCell ref="L22:M22"/>
    <mergeCell ref="J28:K28"/>
    <mergeCell ref="L28:M28"/>
    <mergeCell ref="J23:K23"/>
    <mergeCell ref="L23:M23"/>
    <mergeCell ref="J24:K24"/>
    <mergeCell ref="L24:M24"/>
    <mergeCell ref="J25:K25"/>
    <mergeCell ref="L25:M25"/>
    <mergeCell ref="L34:O34"/>
    <mergeCell ref="L35:O37"/>
    <mergeCell ref="J32:K32"/>
    <mergeCell ref="L32:M32"/>
    <mergeCell ref="A5:K5"/>
    <mergeCell ref="L5:O5"/>
    <mergeCell ref="J29:K29"/>
    <mergeCell ref="L29:M29"/>
    <mergeCell ref="J30:K30"/>
    <mergeCell ref="L30:M30"/>
    <mergeCell ref="J31:K31"/>
    <mergeCell ref="L31:M31"/>
    <mergeCell ref="J26:K26"/>
    <mergeCell ref="L26:M26"/>
    <mergeCell ref="J27:K27"/>
    <mergeCell ref="L27:M27"/>
  </mergeCells>
  <conditionalFormatting sqref="N9:N31">
    <cfRule type="cellIs" dxfId="12" priority="1" operator="greaterThan">
      <formula>0</formula>
    </cfRule>
  </conditionalFormatting>
  <pageMargins left="0.7" right="0.7" top="0.75" bottom="0.75" header="0.3" footer="0.3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20</vt:i4>
      </vt:variant>
    </vt:vector>
  </HeadingPairs>
  <TitlesOfParts>
    <vt:vector size="47" baseType="lpstr">
      <vt:lpstr>Master</vt:lpstr>
      <vt:lpstr>(1) Prapatra kh</vt:lpstr>
      <vt:lpstr>Formet 8</vt:lpstr>
      <vt:lpstr>Formet 9</vt:lpstr>
      <vt:lpstr>(1) Formet 10</vt:lpstr>
      <vt:lpstr>Summary</vt:lpstr>
      <vt:lpstr>Namankan</vt:lpstr>
      <vt:lpstr>01 Salary</vt:lpstr>
      <vt:lpstr>Format 1A</vt:lpstr>
      <vt:lpstr>Format 1B</vt:lpstr>
      <vt:lpstr>Format 1C</vt:lpstr>
      <vt:lpstr>Pending TA-Med List</vt:lpstr>
      <vt:lpstr>Scholership</vt:lpstr>
      <vt:lpstr>PL Encash</vt:lpstr>
      <vt:lpstr>DA AREAR</vt:lpstr>
      <vt:lpstr>Liveries</vt:lpstr>
      <vt:lpstr>Fix Pay</vt:lpstr>
      <vt:lpstr>Sanvida</vt:lpstr>
      <vt:lpstr>Income</vt:lpstr>
      <vt:lpstr>forwarding letter</vt:lpstr>
      <vt:lpstr>Vardi</vt:lpstr>
      <vt:lpstr>7th pay fix. arr.</vt:lpstr>
      <vt:lpstr>vidhyarthimitra</vt:lpstr>
      <vt:lpstr>GA2</vt:lpstr>
      <vt:lpstr>GA3</vt:lpstr>
      <vt:lpstr>Sheet1</vt:lpstr>
      <vt:lpstr>Sheet2</vt:lpstr>
      <vt:lpstr>'(1) Formet 10'!Print_Area</vt:lpstr>
      <vt:lpstr>'(1) Prapatra kh'!Print_Area</vt:lpstr>
      <vt:lpstr>'01 Salary'!Print_Area</vt:lpstr>
      <vt:lpstr>'7th pay fix. arr.'!Print_Area</vt:lpstr>
      <vt:lpstr>'Fix Pay'!Print_Area</vt:lpstr>
      <vt:lpstr>'Format 1A'!Print_Area</vt:lpstr>
      <vt:lpstr>'Format 1C'!Print_Area</vt:lpstr>
      <vt:lpstr>'Formet 8'!Print_Area</vt:lpstr>
      <vt:lpstr>'Formet 9'!Print_Area</vt:lpstr>
      <vt:lpstr>'forwarding letter'!Print_Area</vt:lpstr>
      <vt:lpstr>'GA2'!Print_Area</vt:lpstr>
      <vt:lpstr>Liveries!Print_Area</vt:lpstr>
      <vt:lpstr>Namankan!Print_Area</vt:lpstr>
      <vt:lpstr>'Pending TA-Med List'!Print_Area</vt:lpstr>
      <vt:lpstr>'PL Encash'!Print_Area</vt:lpstr>
      <vt:lpstr>Sanvida!Print_Area</vt:lpstr>
      <vt:lpstr>Scholership!Print_Area</vt:lpstr>
      <vt:lpstr>Summary!Print_Area</vt:lpstr>
      <vt:lpstr>Vardi!Print_Area</vt:lpstr>
      <vt:lpstr>vidhyarthimitra!Print_Area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2019-09-10T17:15:58Z</dcterms:modified>
</cp:coreProperties>
</file>